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2.xml" ContentType="application/vnd.ms-excel.controlproperties+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drawings/drawing8.xml" ContentType="application/vnd.openxmlformats-officedocument.drawing+xml"/>
  <Override PartName="/xl/embeddings/oleObject1.bin" ContentType="application/vnd.openxmlformats-officedocument.oleObject"/>
  <Override PartName="/xl/comments2.xml" ContentType="application/vnd.openxmlformats-officedocument.spreadsheetml.comments+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9.xml" ContentType="application/vnd.openxmlformats-officedocument.drawingml.chartshapes+xml"/>
  <Override PartName="/xl/charts/chart16.xml" ContentType="application/vnd.openxmlformats-officedocument.drawingml.chart+xml"/>
  <Override PartName="/xl/drawings/drawing10.xml" ContentType="application/vnd.openxmlformats-officedocument.drawingml.chartshapes+xml"/>
  <Override PartName="/xl/charts/chart17.xml" ContentType="application/vnd.openxmlformats-officedocument.drawingml.chart+xml"/>
  <Override PartName="/xl/drawings/drawing11.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12.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autoCompressPictures="0"/>
  <workbookProtection workbookPassword="CCC8" lockStructure="1"/>
  <bookViews>
    <workbookView xWindow="-60" yWindow="-105" windowWidth="7230" windowHeight="6735" tabRatio="420"/>
  </bookViews>
  <sheets>
    <sheet name="Design Converter" sheetId="1" r:id="rId1"/>
    <sheet name="BOM &amp; Schematic" sheetId="16" r:id="rId2"/>
    <sheet name="EVMs" sheetId="14" r:id="rId3"/>
    <sheet name="Variable Mgmt" sheetId="2" state="hidden" r:id="rId4"/>
    <sheet name="Calculations - Single" sheetId="24" state="hidden" r:id="rId5"/>
    <sheet name="Calculations - Dual" sheetId="25" state="hidden" r:id="rId6"/>
    <sheet name="Fsw vs VIN" sheetId="23" state="hidden" r:id="rId7"/>
    <sheet name="Parameters" sheetId="19" state="hidden" r:id="rId8"/>
    <sheet name="Efficiency Plots" sheetId="22" state="hidden" r:id="rId9"/>
    <sheet name="Fsw Plots" sheetId="28" state="hidden" r:id="rId10"/>
    <sheet name="Schematic Mgmt" sheetId="21" state="hidden" r:id="rId11"/>
    <sheet name="Standard Value Calculator" sheetId="8" state="hidden" r:id="rId12"/>
  </sheets>
  <definedNames>
    <definedName name="_Don1">'Variable Mgmt'!$B$60</definedName>
    <definedName name="BDserR">Parameters!$D$49</definedName>
    <definedName name="Cb">'Variable Mgmt'!$B$154</definedName>
    <definedName name="Cin" localSheetId="7">Parameters!$D$30</definedName>
    <definedName name="Cin">'Variable Mgmt'!$B$120</definedName>
    <definedName name="CinEsrMax">'Variable Mgmt'!$B$122</definedName>
    <definedName name="Cinmin">'Variable Mgmt'!$B$118</definedName>
    <definedName name="CONFIG">'Variable Mgmt'!$C$52</definedName>
    <definedName name="Coss">Parameters!$D$44</definedName>
    <definedName name="Cout" localSheetId="7">Parameters!$D$32</definedName>
    <definedName name="Cout">'Variable Mgmt'!$B$95</definedName>
    <definedName name="Cout_Voltage_Rating">'Variable Mgmt'!$S$53</definedName>
    <definedName name="Cout2">'Variable Mgmt'!$B$105</definedName>
    <definedName name="CoutEsr">'Variable Mgmt'!$B$97</definedName>
    <definedName name="CoutEsr2">'Variable Mgmt'!$B$107</definedName>
    <definedName name="Css">'Variable Mgmt'!$B$134</definedName>
    <definedName name="Css_u">'Variable Mgmt'!$B$135</definedName>
    <definedName name="Csw">Parameters!$D$45</definedName>
    <definedName name="Diode_TC">'Variable Mgmt'!$B$165</definedName>
    <definedName name="Don_Vinmax">'Variable Mgmt'!$B$63</definedName>
    <definedName name="Don_Vinmin">'Variable Mgmt'!$B$61</definedName>
    <definedName name="Don_Vinnom">'Variable Mgmt'!$B$62</definedName>
    <definedName name="EFF_DUAL">'Efficiency Plots'!$B$7</definedName>
    <definedName name="EFF_SINGLE">'Efficiency Plots'!$B$5</definedName>
    <definedName name="Efficiency">'Variable Mgmt'!$B$33</definedName>
    <definedName name="Fsw" localSheetId="7">Parameters!$D$20</definedName>
    <definedName name="Fsw_DCM">'Variable Mgmt'!$B$39</definedName>
    <definedName name="Fsw_DUAL">'Fsw Plots'!$B$7</definedName>
    <definedName name="Fsw_max">Parameters!$D$21</definedName>
    <definedName name="Fsw_SINGLE">'Fsw Plots'!$B$5</definedName>
    <definedName name="Icinrms">'Variable Mgmt'!$B$117</definedName>
    <definedName name="Icoutrms">'Variable Mgmt'!$B$89</definedName>
    <definedName name="Iin_Vinmax">'Variable Mgmt'!$B$37</definedName>
    <definedName name="Iin_Vinmin">'Variable Mgmt'!$B$35</definedName>
    <definedName name="Iin_Vinnom">'Variable Mgmt'!$B$36</definedName>
    <definedName name="Iout">'Variable Mgmt'!$B$12</definedName>
    <definedName name="Iout_max">Parameters!$D$10</definedName>
    <definedName name="Iout2">'Variable Mgmt'!$B$18</definedName>
    <definedName name="Iout2_actual">'Variable Mgmt'!$B$19</definedName>
    <definedName name="Ioutmax_Vinmax" localSheetId="5">'Calculations - Dual'!$Q$216</definedName>
    <definedName name="Ioutmax_Vinmax">'Calculations - Single'!$P$216</definedName>
    <definedName name="Ioutmax_Vinmin" localSheetId="5">'Calculations - Dual'!$Q$110</definedName>
    <definedName name="Ioutmax_Vinmin">'Calculations - Single'!$P$110</definedName>
    <definedName name="Ioutmax_Vinnom" localSheetId="5">'Calculations - Dual'!$Q$5</definedName>
    <definedName name="Ioutmax_Vinnom">'Calculations - Single'!$P$5</definedName>
    <definedName name="IQ">Parameters!$D$38</definedName>
    <definedName name="Iripple">Parameters!$D$19</definedName>
    <definedName name="Iripple_Vinmax" localSheetId="5">'Variable Mgmt'!#REF!</definedName>
    <definedName name="Iripple_Vinmax" localSheetId="9">'Variable Mgmt'!#REF!</definedName>
    <definedName name="Iripple_Vinmax">'Variable Mgmt'!#REF!</definedName>
    <definedName name="Iripple_Vinmin" localSheetId="5">'Variable Mgmt'!#REF!</definedName>
    <definedName name="Iripple_Vinmin" localSheetId="9">'Variable Mgmt'!#REF!</definedName>
    <definedName name="Iripple_Vinmin">'Variable Mgmt'!#REF!</definedName>
    <definedName name="Iripple_Vinnom" localSheetId="5">'Variable Mgmt'!#REF!</definedName>
    <definedName name="Iripple_Vinnom" localSheetId="9">'Variable Mgmt'!#REF!</definedName>
    <definedName name="Iripple_Vinnom">'Variable Mgmt'!#REF!</definedName>
    <definedName name="Iripple1" localSheetId="5">'Variable Mgmt'!#REF!</definedName>
    <definedName name="Iripple1" localSheetId="9">'Variable Mgmt'!#REF!</definedName>
    <definedName name="Iripple1">'Variable Mgmt'!#REF!</definedName>
    <definedName name="Iss">'Variable Mgmt'!$B$133</definedName>
    <definedName name="Isw_max">Parameters!$D$35</definedName>
    <definedName name="Isw_min">Parameters!$D$36</definedName>
    <definedName name="Iuvlo_hys">'Variable Mgmt'!$B$144</definedName>
    <definedName name="Iuvlo1">'Variable Mgmt'!$B$142</definedName>
    <definedName name="Iuvlo2">'Variable Mgmt'!$B$143</definedName>
    <definedName name="k_core">Parameters!$D$29</definedName>
    <definedName name="L">Parameters!$D$26</definedName>
    <definedName name="Lf">'Variable Mgmt'!$B$73</definedName>
    <definedName name="Lleak">'Variable Mgmt'!$B$74</definedName>
    <definedName name="Lmin">'Variable Mgmt'!$B$84</definedName>
    <definedName name="Ltc">'Variable Mgmt'!$B$176</definedName>
    <definedName name="max_I">Parameters!$H$109</definedName>
    <definedName name="min_I">Parameters!$H$108</definedName>
    <definedName name="MODE">'Variable Mgmt'!$C$51</definedName>
    <definedName name="MODE_SS">'Variable Mgmt'!$J$56</definedName>
    <definedName name="MODE_TC">'Variable Mgmt'!$G$50</definedName>
    <definedName name="MODE_TOP">'Variable Mgmt'!$B$51</definedName>
    <definedName name="MODE_UVLO">'Variable Mgmt'!$G$56</definedName>
    <definedName name="Npri_sec1">'Variable Mgmt'!$R$41</definedName>
    <definedName name="Npri_sec2">'Variable Mgmt'!$R$43</definedName>
    <definedName name="Nps">'Variable Mgmt'!$R$40</definedName>
    <definedName name="Nsec1sec2">'Variable Mgmt'!$R$42</definedName>
    <definedName name="OffTime">Parameters!$D$18</definedName>
    <definedName name="OnTime">Parameters!$D$17</definedName>
    <definedName name="Pi">'Variable Mgmt'!$B$157</definedName>
    <definedName name="PICTURE1">INDIRECT('Schematic Mgmt'!$A$2)</definedName>
    <definedName name="PICTURE2">INDIRECT('Fsw Plots'!$A$2)</definedName>
    <definedName name="PICTURE3">INDIRECT('Efficiency Plots'!$A$2)</definedName>
    <definedName name="Pin">'Variable Mgmt'!$B$34</definedName>
    <definedName name="PLOT_TYPE">'Variable Mgmt'!$M$56</definedName>
    <definedName name="Pout">'Variable Mgmt'!$B$14</definedName>
    <definedName name="Pout_total">'Variable Mgmt'!$B$22</definedName>
    <definedName name="Pout2">'Variable Mgmt'!$B$21</definedName>
    <definedName name="_xlnm.Print_Area" localSheetId="1">'BOM &amp; Schematic'!$A$1:$I$50</definedName>
    <definedName name="_xlnm.Print_Area" localSheetId="0">'Design Converter'!$A$1:$R$48</definedName>
    <definedName name="Qg">Parameters!$D$43</definedName>
    <definedName name="RCinEsr" localSheetId="7">Parameters!$D$31</definedName>
    <definedName name="RCinEsr">'Variable Mgmt'!$B$123</definedName>
    <definedName name="RCoutEsr" localSheetId="7">Parameters!$D$33</definedName>
    <definedName name="RCoutEsr">'Variable Mgmt'!$B$97</definedName>
    <definedName name="Rdcr_pri">'Variable Mgmt'!$B$75</definedName>
    <definedName name="Rdcr_sec">'Variable Mgmt'!$B$76</definedName>
    <definedName name="Rdcr_sec2">'Variable Mgmt'!$B$77</definedName>
    <definedName name="Rdson">Parameters!$D$40</definedName>
    <definedName name="RdsonTC">Parameters!$D$41</definedName>
    <definedName name="Rfb">'Variable Mgmt'!$B$41</definedName>
    <definedName name="Rfb_recommend">'Variable Mgmt'!$B$161</definedName>
    <definedName name="Rfb2_u">'Variable Mgmt'!$B$163</definedName>
    <definedName name="Rout">'Variable Mgmt'!$B$13</definedName>
    <definedName name="Rout2">'Variable Mgmt'!$B$20</definedName>
    <definedName name="Rpg" localSheetId="9">'Variable Mgmt'!#REF!</definedName>
    <definedName name="Rpg">'Variable Mgmt'!#REF!</definedName>
    <definedName name="rr">Parameters!$H$110</definedName>
    <definedName name="RTC">'Variable Mgmt'!$B$167</definedName>
    <definedName name="RTC_1">'Variable Mgmt'!$B$166</definedName>
    <definedName name="Ruvlo1">'Variable Mgmt'!$B$149</definedName>
    <definedName name="Ruvlo2">'Variable Mgmt'!$B$150</definedName>
    <definedName name="SCH_BIPOLAR_UVLOadj_SSadj_TCno">'Schematic Mgmt'!$H$21</definedName>
    <definedName name="SCH_BIPOLAR_UVLOadj_SSadj_TCyes">'Schematic Mgmt'!$H$7</definedName>
    <definedName name="SCH_BIPOLAR_UVLOadj_SSint_TCno">'Schematic Mgmt'!$H$19</definedName>
    <definedName name="SCH_BIPOLAR_UVLOadj_SSint_TCyes">'Schematic Mgmt'!$H$17</definedName>
    <definedName name="SCH_BIPOLAR_UVLOint_SSadj_TCno">'Schematic Mgmt'!$H$15</definedName>
    <definedName name="SCH_BIPOLAR_UVLOint_SSadj_TCyes">'Schematic Mgmt'!$H$9</definedName>
    <definedName name="SCH_BIPOLAR_UVLOint_SSint_TCno">'Schematic Mgmt'!$H$13</definedName>
    <definedName name="SCH_BIPOLAR_UVLOint_SSint_TCyes">'Schematic Mgmt'!$H$11</definedName>
    <definedName name="SCH_DUAL_UVLOadj_SSadj_TCno">'Schematic Mgmt'!$E$21</definedName>
    <definedName name="SCH_DUAL_UVLOadj_SSadj_TCyes">'Schematic Mgmt'!$E$7</definedName>
    <definedName name="SCH_DUAL_UVLOadj_SSint_TCno">'Schematic Mgmt'!$E$19</definedName>
    <definedName name="SCH_DUAL_UVLOadj_SSint_TCyes">'Schematic Mgmt'!$E$17</definedName>
    <definedName name="SCH_DUAL_UVLOint_SSadj_TCno">'Schematic Mgmt'!$E$15</definedName>
    <definedName name="SCH_DUAL_UVLOint_SSadj_TCyes">'Schematic Mgmt'!$E$9</definedName>
    <definedName name="SCH_DUAL_UVLOint_SSint_TCno">'Schematic Mgmt'!$E$13</definedName>
    <definedName name="SCH_DUAL_UVLOint_SSint_TCyes">'Schematic Mgmt'!$E$11</definedName>
    <definedName name="SCH_SINGLE_UVLOadj_SSadj_TCno">'Schematic Mgmt'!$B$21</definedName>
    <definedName name="SCH_SINGLE_UVLOadj_SSadj_TCyes">'Schematic Mgmt'!$B$7</definedName>
    <definedName name="SCH_SINGLE_UVLOadj_SSint_TCno">'Schematic Mgmt'!$B$19</definedName>
    <definedName name="SCH_SINGLE_UVLOadj_SSint_TCyes">'Schematic Mgmt'!$B$17</definedName>
    <definedName name="SCH_SINGLE_UVLOint_SSadj_TCno">'Schematic Mgmt'!$B$15</definedName>
    <definedName name="SCH_SINGLE_UVLOint_SSadj_TCyes">'Schematic Mgmt'!$B$9</definedName>
    <definedName name="SCH_SINGLE_UVLOint_SSint_TCno">'Schematic Mgmt'!$B$13</definedName>
    <definedName name="SCH_SINGLE_UVLOint_SSint_TCyes">'Schematic Mgmt'!$B$11</definedName>
    <definedName name="Ta" localSheetId="7">Parameters!$D$12</definedName>
    <definedName name="Ta">'Variable Mgmt'!$B$174</definedName>
    <definedName name="TC">'Variable Mgmt'!$G$50</definedName>
    <definedName name="Tfall">Parameters!$D$23</definedName>
    <definedName name="ThetaCa">'Variable Mgmt'!$B$177</definedName>
    <definedName name="ThetaJA">Parameters!$D$53</definedName>
    <definedName name="TL">'Variable Mgmt'!$B$85</definedName>
    <definedName name="Toff_Vinmax">'Variable Mgmt'!$B$158</definedName>
    <definedName name="Ton_Vinmin">'Variable Mgmt'!$B$159</definedName>
    <definedName name="Trise">Parameters!$D$22</definedName>
    <definedName name="TrrBot">Parameters!$D$51</definedName>
    <definedName name="Tss">'Variable Mgmt'!$B$132</definedName>
    <definedName name="Turns_Ratio">'Variable Mgmt'!$S$38</definedName>
    <definedName name="Turns_Ratio2">'Variable Mgmt'!$W$38</definedName>
    <definedName name="Vdd">Parameters!$D$13</definedName>
    <definedName name="Vfwd1">Parameters!$D$47</definedName>
    <definedName name="Vfwd2">Parameters!$D$48</definedName>
    <definedName name="Vin">'Design Converter'!$E$7</definedName>
    <definedName name="VIN_max">'Variable Mgmt'!$B$9</definedName>
    <definedName name="VIN_min">'Variable Mgmt'!$B$7</definedName>
    <definedName name="VIN_nom">'Variable Mgmt'!$B$8</definedName>
    <definedName name="Vinripple1">'Variable Mgmt'!$B$115</definedName>
    <definedName name="Vinripple2">'Variable Mgmt'!$B$128</definedName>
    <definedName name="VINuvlo_off">'Variable Mgmt'!$B$147</definedName>
    <definedName name="VINuvlo_on">'Variable Mgmt'!$B$146</definedName>
    <definedName name="Vout">'Variable Mgmt'!$B$11</definedName>
    <definedName name="Vout_ripple">'Variable Mgmt'!$B$30</definedName>
    <definedName name="Vout_ripple2">'Variable Mgmt'!$B$31</definedName>
    <definedName name="Vout2">'Variable Mgmt'!$B$16</definedName>
    <definedName name="Vout2_actual">'Variable Mgmt'!$B$17</definedName>
    <definedName name="Vref">'Variable Mgmt'!$B$40</definedName>
    <definedName name="Vripple1_actual">'Variable Mgmt'!$B$99</definedName>
    <definedName name="Vripple1_spec">'Variable Mgmt'!$B$93</definedName>
    <definedName name="Vripple2_actual">'Variable Mgmt'!$B$109</definedName>
    <definedName name="Vripple2_spec">'Variable Mgmt'!$B$103</definedName>
    <definedName name="VRRM_DIODE">'Variable Mgmt'!$B$28</definedName>
    <definedName name="Vuvlo_hys">'Variable Mgmt'!$B$141</definedName>
    <definedName name="Vuvlo_off">'Variable Mgmt'!$B$140</definedName>
    <definedName name="Vuvlo_on">'Variable Mgmt'!$B$139</definedName>
  </definedNames>
  <calcPr calcId="145621"/>
</workbook>
</file>

<file path=xl/calcChain.xml><?xml version="1.0" encoding="utf-8"?>
<calcChain xmlns="http://schemas.openxmlformats.org/spreadsheetml/2006/main">
  <c r="BM5" i="25" l="1"/>
  <c r="BB1" i="24"/>
  <c r="D53" i="19"/>
  <c r="B53" i="19"/>
  <c r="D41" i="19"/>
  <c r="B174" i="2"/>
  <c r="BL5" i="25" s="1"/>
  <c r="BS1" i="24" l="1"/>
  <c r="B74" i="2" l="1"/>
  <c r="M10" i="1"/>
  <c r="K10" i="1"/>
  <c r="B36" i="19" l="1"/>
  <c r="B18" i="2" l="1"/>
  <c r="B28" i="19"/>
  <c r="D28" i="19" s="1"/>
  <c r="B48" i="19"/>
  <c r="D48" i="19" s="1"/>
  <c r="BL110" i="25" l="1"/>
  <c r="BN110" i="24"/>
  <c r="BQ110" i="24" s="1"/>
  <c r="M1" i="24"/>
  <c r="R41" i="2"/>
  <c r="R40" i="2"/>
  <c r="W41" i="2"/>
  <c r="R38" i="2" l="1"/>
  <c r="R32" i="2"/>
  <c r="R34" i="2"/>
  <c r="K39" i="16" l="1"/>
  <c r="K38" i="16"/>
  <c r="K37" i="16"/>
  <c r="K36" i="16"/>
  <c r="K35" i="16"/>
  <c r="K45" i="16"/>
  <c r="J45" i="16"/>
  <c r="K33" i="16"/>
  <c r="J33" i="16"/>
  <c r="I33" i="16"/>
  <c r="H33" i="16"/>
  <c r="I34" i="16"/>
  <c r="H34" i="16"/>
  <c r="C37" i="16"/>
  <c r="D36" i="16"/>
  <c r="D35" i="16"/>
  <c r="J36" i="16"/>
  <c r="J39" i="16"/>
  <c r="J37" i="16"/>
  <c r="H36" i="16"/>
  <c r="J35" i="16"/>
  <c r="J44" i="16"/>
  <c r="I44" i="16"/>
  <c r="H44" i="16"/>
  <c r="A44" i="16"/>
  <c r="D38" i="16"/>
  <c r="D37" i="16"/>
  <c r="J38" i="16"/>
  <c r="F213" i="2"/>
  <c r="K41" i="16"/>
  <c r="J41" i="16"/>
  <c r="I36" i="16"/>
  <c r="C36" i="16"/>
  <c r="B34" i="16"/>
  <c r="A36" i="16"/>
  <c r="B219" i="2"/>
  <c r="A33" i="16"/>
  <c r="K44" i="16"/>
  <c r="K13" i="1" l="1"/>
  <c r="M13" i="1"/>
  <c r="A2" i="28"/>
  <c r="A2" i="22"/>
  <c r="B17" i="2"/>
  <c r="B16" i="2"/>
  <c r="I5" i="25" l="1"/>
  <c r="B51" i="2"/>
  <c r="D213" i="2" s="1"/>
  <c r="B19" i="2"/>
  <c r="BP6" i="19"/>
  <c r="BQ6" i="19"/>
  <c r="BU6" i="19"/>
  <c r="BV6" i="19"/>
  <c r="BW6" i="19"/>
  <c r="CA6" i="19"/>
  <c r="CB6" i="19"/>
  <c r="CC6" i="19"/>
  <c r="BP7" i="19"/>
  <c r="BQ7" i="19"/>
  <c r="BU7" i="19"/>
  <c r="BV7" i="19"/>
  <c r="BW7" i="19"/>
  <c r="CA7" i="19"/>
  <c r="CB7" i="19"/>
  <c r="CC7" i="19"/>
  <c r="BP8" i="19"/>
  <c r="BQ8" i="19"/>
  <c r="BU8" i="19"/>
  <c r="BV8" i="19"/>
  <c r="BW8" i="19"/>
  <c r="CA8" i="19"/>
  <c r="CB8" i="19"/>
  <c r="CC8" i="19"/>
  <c r="BP9" i="19"/>
  <c r="BQ9" i="19"/>
  <c r="BU9" i="19"/>
  <c r="BV9" i="19"/>
  <c r="BW9" i="19"/>
  <c r="CA9" i="19"/>
  <c r="CB9" i="19"/>
  <c r="CC9" i="19"/>
  <c r="D24" i="2"/>
  <c r="A24" i="2"/>
  <c r="AL216" i="25"/>
  <c r="AL110" i="25"/>
  <c r="J105" i="25"/>
  <c r="J104" i="25"/>
  <c r="J103" i="25"/>
  <c r="J102" i="25"/>
  <c r="J101" i="25"/>
  <c r="J100" i="25"/>
  <c r="J99" i="25"/>
  <c r="J98" i="25"/>
  <c r="J97" i="25"/>
  <c r="J96" i="25"/>
  <c r="J95" i="25"/>
  <c r="J94" i="25"/>
  <c r="J93" i="25"/>
  <c r="J92" i="25"/>
  <c r="J91" i="25"/>
  <c r="J90" i="25"/>
  <c r="J89" i="25"/>
  <c r="J88" i="25"/>
  <c r="J87" i="25"/>
  <c r="J86" i="25"/>
  <c r="J85" i="25"/>
  <c r="J84" i="25"/>
  <c r="J83" i="25"/>
  <c r="J82" i="25"/>
  <c r="J81" i="25"/>
  <c r="J80" i="25"/>
  <c r="J79" i="25"/>
  <c r="J78" i="25"/>
  <c r="J77" i="25"/>
  <c r="J76" i="25"/>
  <c r="J75" i="25"/>
  <c r="J74" i="25"/>
  <c r="J73" i="25"/>
  <c r="J72" i="25"/>
  <c r="J71" i="25"/>
  <c r="J70" i="25"/>
  <c r="J69" i="25"/>
  <c r="J68" i="25"/>
  <c r="J67" i="25"/>
  <c r="J66" i="25"/>
  <c r="J65" i="25"/>
  <c r="J64" i="25"/>
  <c r="J63" i="25"/>
  <c r="J62" i="25"/>
  <c r="J61" i="25"/>
  <c r="J60" i="25"/>
  <c r="J59" i="25"/>
  <c r="J58" i="25"/>
  <c r="J57" i="25"/>
  <c r="J56" i="25"/>
  <c r="J55" i="25"/>
  <c r="J54" i="25"/>
  <c r="J53" i="25"/>
  <c r="J52" i="25"/>
  <c r="J51" i="25"/>
  <c r="J50" i="25"/>
  <c r="J49" i="25"/>
  <c r="J48" i="25"/>
  <c r="J47" i="25"/>
  <c r="J46" i="25"/>
  <c r="J45" i="25"/>
  <c r="J44" i="25"/>
  <c r="J43" i="25"/>
  <c r="J42" i="25"/>
  <c r="J41" i="25"/>
  <c r="J40" i="25"/>
  <c r="J39" i="25"/>
  <c r="J38" i="25"/>
  <c r="J37" i="25"/>
  <c r="J36" i="25"/>
  <c r="J35" i="25"/>
  <c r="J34" i="25"/>
  <c r="J33" i="25"/>
  <c r="J32" i="25"/>
  <c r="J31" i="25"/>
  <c r="J30" i="25"/>
  <c r="J29" i="25"/>
  <c r="J28" i="25"/>
  <c r="J27" i="25"/>
  <c r="J26" i="25"/>
  <c r="J25" i="25"/>
  <c r="J24" i="25"/>
  <c r="J23" i="25"/>
  <c r="J22" i="25"/>
  <c r="J21" i="25"/>
  <c r="J20" i="25"/>
  <c r="J19" i="25"/>
  <c r="J18" i="25"/>
  <c r="J17" i="25"/>
  <c r="J16" i="25"/>
  <c r="J15" i="25"/>
  <c r="J14" i="25"/>
  <c r="J13" i="25"/>
  <c r="J12" i="25"/>
  <c r="J11" i="25"/>
  <c r="J10" i="25"/>
  <c r="J9" i="25"/>
  <c r="J8" i="25"/>
  <c r="J7" i="25"/>
  <c r="J6" i="25"/>
  <c r="AL5" i="25"/>
  <c r="J5" i="25"/>
  <c r="K12" i="1"/>
  <c r="V38" i="2"/>
  <c r="V36" i="2"/>
  <c r="K9" i="1"/>
  <c r="V28" i="2"/>
  <c r="V29" i="2"/>
  <c r="V35" i="2"/>
  <c r="V34" i="2"/>
  <c r="V33" i="2"/>
  <c r="V32" i="2"/>
  <c r="V31" i="2"/>
  <c r="V30" i="2"/>
  <c r="B265" i="2" l="1"/>
  <c r="R37" i="2"/>
  <c r="R36" i="2"/>
  <c r="R35" i="2"/>
  <c r="R33" i="2"/>
  <c r="R31" i="2"/>
  <c r="R30" i="2"/>
  <c r="R29" i="2"/>
  <c r="R28" i="2"/>
  <c r="B107" i="2" l="1"/>
  <c r="B105" i="2"/>
  <c r="C33" i="16" s="1"/>
  <c r="B77" i="2"/>
  <c r="B82" i="2" s="1"/>
  <c r="K23" i="1" l="1"/>
  <c r="K20" i="1"/>
  <c r="D10" i="1"/>
  <c r="D11" i="1"/>
  <c r="D35" i="1"/>
  <c r="D13" i="1"/>
  <c r="D12" i="1"/>
  <c r="D23" i="1"/>
  <c r="D20" i="1"/>
  <c r="D36" i="1"/>
  <c r="B165" i="2" l="1"/>
  <c r="BN5" i="24" l="1"/>
  <c r="I56" i="2"/>
  <c r="B263" i="2"/>
  <c r="F13" i="1"/>
  <c r="B12" i="2"/>
  <c r="CB110" i="25" l="1"/>
  <c r="B248" i="2"/>
  <c r="G111" i="25"/>
  <c r="G115" i="25"/>
  <c r="G119" i="25"/>
  <c r="G123" i="25"/>
  <c r="G127" i="25"/>
  <c r="G131" i="25"/>
  <c r="G135" i="25"/>
  <c r="G139" i="25"/>
  <c r="G143" i="25"/>
  <c r="G147" i="25"/>
  <c r="G151" i="25"/>
  <c r="G155" i="25"/>
  <c r="G159" i="25"/>
  <c r="G163" i="25"/>
  <c r="G167" i="25"/>
  <c r="G171" i="25"/>
  <c r="G175" i="25"/>
  <c r="G179" i="25"/>
  <c r="G183" i="25"/>
  <c r="G187" i="25"/>
  <c r="G191" i="25"/>
  <c r="G195" i="25"/>
  <c r="G199" i="25"/>
  <c r="G203" i="25"/>
  <c r="G207" i="25"/>
  <c r="G216" i="25"/>
  <c r="G220" i="25"/>
  <c r="I220" i="25" s="1"/>
  <c r="G224" i="25"/>
  <c r="I224" i="25" s="1"/>
  <c r="G228" i="25"/>
  <c r="I228" i="25" s="1"/>
  <c r="G232" i="25"/>
  <c r="I232" i="25" s="1"/>
  <c r="G236" i="25"/>
  <c r="I236" i="25" s="1"/>
  <c r="G240" i="25"/>
  <c r="I240" i="25" s="1"/>
  <c r="G244" i="25"/>
  <c r="I244" i="25" s="1"/>
  <c r="G248" i="25"/>
  <c r="I248" i="25" s="1"/>
  <c r="G252" i="25"/>
  <c r="I252" i="25" s="1"/>
  <c r="G256" i="25"/>
  <c r="I256" i="25" s="1"/>
  <c r="G260" i="25"/>
  <c r="I260" i="25" s="1"/>
  <c r="G264" i="25"/>
  <c r="I264" i="25" s="1"/>
  <c r="G268" i="25"/>
  <c r="I268" i="25" s="1"/>
  <c r="G272" i="25"/>
  <c r="I272" i="25" s="1"/>
  <c r="G276" i="25"/>
  <c r="I276" i="25" s="1"/>
  <c r="G280" i="25"/>
  <c r="I280" i="25" s="1"/>
  <c r="G284" i="25"/>
  <c r="I284" i="25" s="1"/>
  <c r="G288" i="25"/>
  <c r="I288" i="25" s="1"/>
  <c r="G292" i="25"/>
  <c r="I292" i="25" s="1"/>
  <c r="G296" i="25"/>
  <c r="I296" i="25" s="1"/>
  <c r="G300" i="25"/>
  <c r="I300" i="25" s="1"/>
  <c r="G304" i="25"/>
  <c r="I304" i="25" s="1"/>
  <c r="G308" i="25"/>
  <c r="I308" i="25" s="1"/>
  <c r="G312" i="25"/>
  <c r="I312" i="25" s="1"/>
  <c r="G316" i="25"/>
  <c r="I316" i="25" s="1"/>
  <c r="G8" i="25"/>
  <c r="BM8" i="25" s="1"/>
  <c r="G12" i="25"/>
  <c r="BM12" i="25" s="1"/>
  <c r="G16" i="25"/>
  <c r="BM16" i="25" s="1"/>
  <c r="G20" i="25"/>
  <c r="BM20" i="25" s="1"/>
  <c r="G24" i="25"/>
  <c r="BM24" i="25" s="1"/>
  <c r="G28" i="25"/>
  <c r="BM28" i="25" s="1"/>
  <c r="G32" i="25"/>
  <c r="BM32" i="25" s="1"/>
  <c r="G36" i="25"/>
  <c r="BM36" i="25" s="1"/>
  <c r="G40" i="25"/>
  <c r="BM40" i="25" s="1"/>
  <c r="G44" i="25"/>
  <c r="BM44" i="25" s="1"/>
  <c r="G48" i="25"/>
  <c r="BM48" i="25" s="1"/>
  <c r="G52" i="25"/>
  <c r="BM52" i="25" s="1"/>
  <c r="G56" i="25"/>
  <c r="BM56" i="25" s="1"/>
  <c r="G60" i="25"/>
  <c r="BM60" i="25" s="1"/>
  <c r="G64" i="25"/>
  <c r="BM64" i="25" s="1"/>
  <c r="G68" i="25"/>
  <c r="BM68" i="25" s="1"/>
  <c r="G72" i="25"/>
  <c r="BM72" i="25" s="1"/>
  <c r="G76" i="25"/>
  <c r="BM76" i="25" s="1"/>
  <c r="G80" i="25"/>
  <c r="BM80" i="25" s="1"/>
  <c r="G84" i="25"/>
  <c r="BM84" i="25" s="1"/>
  <c r="G88" i="25"/>
  <c r="BM88" i="25" s="1"/>
  <c r="G92" i="25"/>
  <c r="BM92" i="25" s="1"/>
  <c r="G96" i="25"/>
  <c r="BM96" i="25" s="1"/>
  <c r="G100" i="25"/>
  <c r="BM100" i="25" s="1"/>
  <c r="G104" i="25"/>
  <c r="BM104" i="25" s="1"/>
  <c r="G118" i="25"/>
  <c r="G150" i="25"/>
  <c r="G162" i="25"/>
  <c r="G174" i="25"/>
  <c r="G112" i="25"/>
  <c r="G116" i="25"/>
  <c r="G120" i="25"/>
  <c r="G124" i="25"/>
  <c r="G128" i="25"/>
  <c r="G132" i="25"/>
  <c r="G136" i="25"/>
  <c r="G140" i="25"/>
  <c r="G144" i="25"/>
  <c r="G148" i="25"/>
  <c r="G152" i="25"/>
  <c r="G156" i="25"/>
  <c r="G160" i="25"/>
  <c r="G164" i="25"/>
  <c r="G168" i="25"/>
  <c r="G172" i="25"/>
  <c r="G176" i="25"/>
  <c r="G180" i="25"/>
  <c r="G184" i="25"/>
  <c r="G188" i="25"/>
  <c r="G192" i="25"/>
  <c r="G196" i="25"/>
  <c r="G200" i="25"/>
  <c r="G204" i="25"/>
  <c r="G208" i="25"/>
  <c r="G217" i="25"/>
  <c r="I217" i="25" s="1"/>
  <c r="G221" i="25"/>
  <c r="I221" i="25" s="1"/>
  <c r="G225" i="25"/>
  <c r="I225" i="25" s="1"/>
  <c r="G229" i="25"/>
  <c r="I229" i="25" s="1"/>
  <c r="G233" i="25"/>
  <c r="I233" i="25" s="1"/>
  <c r="G237" i="25"/>
  <c r="I237" i="25" s="1"/>
  <c r="G241" i="25"/>
  <c r="I241" i="25" s="1"/>
  <c r="G245" i="25"/>
  <c r="I245" i="25" s="1"/>
  <c r="G249" i="25"/>
  <c r="I249" i="25" s="1"/>
  <c r="G253" i="25"/>
  <c r="I253" i="25" s="1"/>
  <c r="G257" i="25"/>
  <c r="I257" i="25" s="1"/>
  <c r="G261" i="25"/>
  <c r="I261" i="25" s="1"/>
  <c r="G265" i="25"/>
  <c r="I265" i="25" s="1"/>
  <c r="G269" i="25"/>
  <c r="I269" i="25" s="1"/>
  <c r="G273" i="25"/>
  <c r="I273" i="25" s="1"/>
  <c r="G277" i="25"/>
  <c r="I277" i="25" s="1"/>
  <c r="G281" i="25"/>
  <c r="I281" i="25" s="1"/>
  <c r="G285" i="25"/>
  <c r="I285" i="25" s="1"/>
  <c r="G289" i="25"/>
  <c r="I289" i="25" s="1"/>
  <c r="G293" i="25"/>
  <c r="I293" i="25" s="1"/>
  <c r="G297" i="25"/>
  <c r="I297" i="25" s="1"/>
  <c r="G301" i="25"/>
  <c r="I301" i="25" s="1"/>
  <c r="G305" i="25"/>
  <c r="I305" i="25" s="1"/>
  <c r="G309" i="25"/>
  <c r="I309" i="25" s="1"/>
  <c r="G313" i="25"/>
  <c r="I313" i="25" s="1"/>
  <c r="G9" i="25"/>
  <c r="BM9" i="25" s="1"/>
  <c r="G13" i="25"/>
  <c r="BM13" i="25" s="1"/>
  <c r="G17" i="25"/>
  <c r="BM17" i="25" s="1"/>
  <c r="G21" i="25"/>
  <c r="BM21" i="25" s="1"/>
  <c r="G25" i="25"/>
  <c r="BM25" i="25" s="1"/>
  <c r="G29" i="25"/>
  <c r="BM29" i="25" s="1"/>
  <c r="G33" i="25"/>
  <c r="BM33" i="25" s="1"/>
  <c r="G37" i="25"/>
  <c r="BM37" i="25" s="1"/>
  <c r="G41" i="25"/>
  <c r="BM41" i="25" s="1"/>
  <c r="G45" i="25"/>
  <c r="BM45" i="25" s="1"/>
  <c r="G49" i="25"/>
  <c r="BM49" i="25" s="1"/>
  <c r="G53" i="25"/>
  <c r="BM53" i="25" s="1"/>
  <c r="G57" i="25"/>
  <c r="BM57" i="25" s="1"/>
  <c r="G61" i="25"/>
  <c r="BM61" i="25" s="1"/>
  <c r="G65" i="25"/>
  <c r="BM65" i="25" s="1"/>
  <c r="G69" i="25"/>
  <c r="BM69" i="25" s="1"/>
  <c r="G73" i="25"/>
  <c r="BM73" i="25" s="1"/>
  <c r="G77" i="25"/>
  <c r="BM77" i="25" s="1"/>
  <c r="G81" i="25"/>
  <c r="BM81" i="25" s="1"/>
  <c r="G85" i="25"/>
  <c r="BM85" i="25" s="1"/>
  <c r="G89" i="25"/>
  <c r="BM89" i="25" s="1"/>
  <c r="G93" i="25"/>
  <c r="BM93" i="25" s="1"/>
  <c r="G97" i="25"/>
  <c r="BM97" i="25" s="1"/>
  <c r="G101" i="25"/>
  <c r="BM101" i="25" s="1"/>
  <c r="G105" i="25"/>
  <c r="BM105" i="25" s="1"/>
  <c r="G122" i="25"/>
  <c r="G154" i="25"/>
  <c r="G170" i="25"/>
  <c r="G113" i="25"/>
  <c r="G117" i="25"/>
  <c r="G121" i="25"/>
  <c r="G125" i="25"/>
  <c r="G129" i="25"/>
  <c r="G133" i="25"/>
  <c r="G137" i="25"/>
  <c r="G141" i="25"/>
  <c r="G145" i="25"/>
  <c r="G149" i="25"/>
  <c r="G153" i="25"/>
  <c r="G157" i="25"/>
  <c r="G161" i="25"/>
  <c r="G165" i="25"/>
  <c r="G169" i="25"/>
  <c r="G173" i="25"/>
  <c r="G177" i="25"/>
  <c r="G181" i="25"/>
  <c r="G185" i="25"/>
  <c r="G189" i="25"/>
  <c r="G193" i="25"/>
  <c r="G197" i="25"/>
  <c r="G201" i="25"/>
  <c r="G205" i="25"/>
  <c r="G209" i="25"/>
  <c r="G218" i="25"/>
  <c r="I218" i="25" s="1"/>
  <c r="G222" i="25"/>
  <c r="I222" i="25" s="1"/>
  <c r="G226" i="25"/>
  <c r="I226" i="25" s="1"/>
  <c r="G230" i="25"/>
  <c r="I230" i="25" s="1"/>
  <c r="G234" i="25"/>
  <c r="I234" i="25" s="1"/>
  <c r="G238" i="25"/>
  <c r="I238" i="25" s="1"/>
  <c r="G242" i="25"/>
  <c r="I242" i="25" s="1"/>
  <c r="G246" i="25"/>
  <c r="I246" i="25" s="1"/>
  <c r="G250" i="25"/>
  <c r="I250" i="25" s="1"/>
  <c r="G254" i="25"/>
  <c r="I254" i="25" s="1"/>
  <c r="G258" i="25"/>
  <c r="I258" i="25" s="1"/>
  <c r="G262" i="25"/>
  <c r="I262" i="25" s="1"/>
  <c r="G266" i="25"/>
  <c r="I266" i="25" s="1"/>
  <c r="G270" i="25"/>
  <c r="I270" i="25" s="1"/>
  <c r="G274" i="25"/>
  <c r="I274" i="25" s="1"/>
  <c r="G278" i="25"/>
  <c r="I278" i="25" s="1"/>
  <c r="G282" i="25"/>
  <c r="I282" i="25" s="1"/>
  <c r="G286" i="25"/>
  <c r="I286" i="25" s="1"/>
  <c r="G290" i="25"/>
  <c r="I290" i="25" s="1"/>
  <c r="G294" i="25"/>
  <c r="I294" i="25" s="1"/>
  <c r="G298" i="25"/>
  <c r="I298" i="25" s="1"/>
  <c r="G302" i="25"/>
  <c r="I302" i="25" s="1"/>
  <c r="G306" i="25"/>
  <c r="I306" i="25" s="1"/>
  <c r="G310" i="25"/>
  <c r="I310" i="25" s="1"/>
  <c r="G314" i="25"/>
  <c r="I314" i="25" s="1"/>
  <c r="G10" i="25"/>
  <c r="BM10" i="25" s="1"/>
  <c r="G14" i="25"/>
  <c r="BM14" i="25" s="1"/>
  <c r="G18" i="25"/>
  <c r="BM18" i="25" s="1"/>
  <c r="G22" i="25"/>
  <c r="BM22" i="25" s="1"/>
  <c r="G26" i="25"/>
  <c r="BM26" i="25" s="1"/>
  <c r="G30" i="25"/>
  <c r="BM30" i="25" s="1"/>
  <c r="G34" i="25"/>
  <c r="BM34" i="25" s="1"/>
  <c r="G38" i="25"/>
  <c r="BM38" i="25" s="1"/>
  <c r="G42" i="25"/>
  <c r="BM42" i="25" s="1"/>
  <c r="G46" i="25"/>
  <c r="BM46" i="25" s="1"/>
  <c r="G50" i="25"/>
  <c r="BM50" i="25" s="1"/>
  <c r="G54" i="25"/>
  <c r="BM54" i="25" s="1"/>
  <c r="G58" i="25"/>
  <c r="BM58" i="25" s="1"/>
  <c r="G62" i="25"/>
  <c r="BM62" i="25" s="1"/>
  <c r="G66" i="25"/>
  <c r="BM66" i="25" s="1"/>
  <c r="G70" i="25"/>
  <c r="BM70" i="25" s="1"/>
  <c r="G74" i="25"/>
  <c r="BM74" i="25" s="1"/>
  <c r="G78" i="25"/>
  <c r="BM78" i="25" s="1"/>
  <c r="G82" i="25"/>
  <c r="BM82" i="25" s="1"/>
  <c r="G86" i="25"/>
  <c r="BM86" i="25" s="1"/>
  <c r="G90" i="25"/>
  <c r="BM90" i="25" s="1"/>
  <c r="G94" i="25"/>
  <c r="BM94" i="25" s="1"/>
  <c r="G98" i="25"/>
  <c r="BM98" i="25" s="1"/>
  <c r="G102" i="25"/>
  <c r="BM102" i="25" s="1"/>
  <c r="G7" i="25"/>
  <c r="BM7" i="25" s="1"/>
  <c r="G110" i="25"/>
  <c r="G114" i="25"/>
  <c r="G126" i="25"/>
  <c r="G130" i="25"/>
  <c r="G134" i="25"/>
  <c r="G138" i="25"/>
  <c r="G142" i="25"/>
  <c r="G146" i="25"/>
  <c r="G158" i="25"/>
  <c r="G166" i="25"/>
  <c r="G182" i="25"/>
  <c r="G198" i="25"/>
  <c r="G219" i="25"/>
  <c r="I219" i="25" s="1"/>
  <c r="G235" i="25"/>
  <c r="I235" i="25" s="1"/>
  <c r="G251" i="25"/>
  <c r="I251" i="25" s="1"/>
  <c r="G267" i="25"/>
  <c r="I267" i="25" s="1"/>
  <c r="G283" i="25"/>
  <c r="I283" i="25" s="1"/>
  <c r="G299" i="25"/>
  <c r="I299" i="25" s="1"/>
  <c r="G315" i="25"/>
  <c r="I315" i="25" s="1"/>
  <c r="G11" i="25"/>
  <c r="BM11" i="25" s="1"/>
  <c r="G27" i="25"/>
  <c r="BM27" i="25" s="1"/>
  <c r="G43" i="25"/>
  <c r="BM43" i="25" s="1"/>
  <c r="G59" i="25"/>
  <c r="BM59" i="25" s="1"/>
  <c r="G75" i="25"/>
  <c r="BM75" i="25" s="1"/>
  <c r="G91" i="25"/>
  <c r="BM91" i="25" s="1"/>
  <c r="G6" i="25"/>
  <c r="BM6" i="25" s="1"/>
  <c r="G186" i="25"/>
  <c r="G255" i="25"/>
  <c r="I255" i="25" s="1"/>
  <c r="G303" i="25"/>
  <c r="I303" i="25" s="1"/>
  <c r="G47" i="25"/>
  <c r="BM47" i="25" s="1"/>
  <c r="G95" i="25"/>
  <c r="BM95" i="25" s="1"/>
  <c r="G190" i="25"/>
  <c r="G206" i="25"/>
  <c r="G227" i="25"/>
  <c r="I227" i="25" s="1"/>
  <c r="G243" i="25"/>
  <c r="I243" i="25" s="1"/>
  <c r="G259" i="25"/>
  <c r="I259" i="25" s="1"/>
  <c r="G275" i="25"/>
  <c r="I275" i="25" s="1"/>
  <c r="G291" i="25"/>
  <c r="I291" i="25" s="1"/>
  <c r="G307" i="25"/>
  <c r="I307" i="25" s="1"/>
  <c r="G19" i="25"/>
  <c r="BM19" i="25" s="1"/>
  <c r="G35" i="25"/>
  <c r="BM35" i="25" s="1"/>
  <c r="G51" i="25"/>
  <c r="BM51" i="25" s="1"/>
  <c r="G67" i="25"/>
  <c r="BM67" i="25" s="1"/>
  <c r="G83" i="25"/>
  <c r="BM83" i="25" s="1"/>
  <c r="G99" i="25"/>
  <c r="BM99" i="25" s="1"/>
  <c r="G87" i="25"/>
  <c r="BM87" i="25" s="1"/>
  <c r="G223" i="25"/>
  <c r="I223" i="25" s="1"/>
  <c r="G239" i="25"/>
  <c r="I239" i="25" s="1"/>
  <c r="G287" i="25"/>
  <c r="I287" i="25" s="1"/>
  <c r="G15" i="25"/>
  <c r="BM15" i="25" s="1"/>
  <c r="G63" i="25"/>
  <c r="BM63" i="25" s="1"/>
  <c r="G178" i="25"/>
  <c r="G194" i="25"/>
  <c r="G210" i="25"/>
  <c r="G231" i="25"/>
  <c r="I231" i="25" s="1"/>
  <c r="G247" i="25"/>
  <c r="I247" i="25" s="1"/>
  <c r="G263" i="25"/>
  <c r="I263" i="25" s="1"/>
  <c r="G279" i="25"/>
  <c r="I279" i="25" s="1"/>
  <c r="G295" i="25"/>
  <c r="I295" i="25" s="1"/>
  <c r="G311" i="25"/>
  <c r="I311" i="25" s="1"/>
  <c r="G23" i="25"/>
  <c r="BM23" i="25" s="1"/>
  <c r="G39" i="25"/>
  <c r="BM39" i="25" s="1"/>
  <c r="G55" i="25"/>
  <c r="BM55" i="25" s="1"/>
  <c r="G71" i="25"/>
  <c r="BM71" i="25" s="1"/>
  <c r="G103" i="25"/>
  <c r="BM103" i="25" s="1"/>
  <c r="G202" i="25"/>
  <c r="G271" i="25"/>
  <c r="I271" i="25" s="1"/>
  <c r="G31" i="25"/>
  <c r="BM31" i="25" s="1"/>
  <c r="G79" i="25"/>
  <c r="BM79" i="25" s="1"/>
  <c r="F7" i="25"/>
  <c r="BL7" i="25" s="1"/>
  <c r="F6" i="25"/>
  <c r="BL6" i="25" s="1"/>
  <c r="I158" i="25" l="1"/>
  <c r="BM158" i="25"/>
  <c r="BM110" i="25"/>
  <c r="BP110" i="25" s="1"/>
  <c r="I189" i="25"/>
  <c r="BM189" i="25"/>
  <c r="I157" i="25"/>
  <c r="BM157" i="25"/>
  <c r="I125" i="25"/>
  <c r="BM125" i="25"/>
  <c r="I170" i="25"/>
  <c r="BM170" i="25"/>
  <c r="I180" i="25"/>
  <c r="BM180" i="25"/>
  <c r="I148" i="25"/>
  <c r="BM148" i="25"/>
  <c r="I116" i="25"/>
  <c r="BM116" i="25"/>
  <c r="I150" i="25"/>
  <c r="BM150" i="25"/>
  <c r="I195" i="25"/>
  <c r="BM195" i="25"/>
  <c r="I163" i="25"/>
  <c r="BM163" i="25"/>
  <c r="I131" i="25"/>
  <c r="BM131" i="25"/>
  <c r="I190" i="25"/>
  <c r="BM190" i="25"/>
  <c r="I198" i="25"/>
  <c r="BM198" i="25"/>
  <c r="I146" i="25"/>
  <c r="BM146" i="25"/>
  <c r="I130" i="25"/>
  <c r="BM130" i="25"/>
  <c r="I201" i="25"/>
  <c r="BM201" i="25"/>
  <c r="I169" i="25"/>
  <c r="BM169" i="25"/>
  <c r="I137" i="25"/>
  <c r="BM137" i="25"/>
  <c r="I154" i="25"/>
  <c r="BM154" i="25"/>
  <c r="I192" i="25"/>
  <c r="BM192" i="25"/>
  <c r="I160" i="25"/>
  <c r="BM160" i="25"/>
  <c r="I128" i="25"/>
  <c r="BM128" i="25"/>
  <c r="I207" i="25"/>
  <c r="BM207" i="25"/>
  <c r="I175" i="25"/>
  <c r="BM175" i="25"/>
  <c r="I143" i="25"/>
  <c r="BM143" i="25"/>
  <c r="I111" i="25"/>
  <c r="BM111" i="25"/>
  <c r="I202" i="25"/>
  <c r="BM202" i="25"/>
  <c r="I210" i="25"/>
  <c r="BM210" i="25"/>
  <c r="I166" i="25"/>
  <c r="BM166" i="25"/>
  <c r="I138" i="25"/>
  <c r="BM138" i="25"/>
  <c r="I114" i="25"/>
  <c r="BM114" i="25"/>
  <c r="I209" i="25"/>
  <c r="BM209" i="25"/>
  <c r="I193" i="25"/>
  <c r="BM193" i="25"/>
  <c r="I177" i="25"/>
  <c r="BM177" i="25"/>
  <c r="I161" i="25"/>
  <c r="BM161" i="25"/>
  <c r="I145" i="25"/>
  <c r="BM145" i="25"/>
  <c r="I129" i="25"/>
  <c r="BM129" i="25"/>
  <c r="I113" i="25"/>
  <c r="BM113" i="25"/>
  <c r="I200" i="25"/>
  <c r="BM200" i="25"/>
  <c r="I184" i="25"/>
  <c r="BM184" i="25"/>
  <c r="I168" i="25"/>
  <c r="BM168" i="25"/>
  <c r="I152" i="25"/>
  <c r="BM152" i="25"/>
  <c r="I136" i="25"/>
  <c r="BM136" i="25"/>
  <c r="I120" i="25"/>
  <c r="BM120" i="25"/>
  <c r="I162" i="25"/>
  <c r="BM162" i="25"/>
  <c r="I199" i="25"/>
  <c r="BM199" i="25"/>
  <c r="I183" i="25"/>
  <c r="BM183" i="25"/>
  <c r="I167" i="25"/>
  <c r="BM167" i="25"/>
  <c r="I151" i="25"/>
  <c r="BM151" i="25"/>
  <c r="I135" i="25"/>
  <c r="BM135" i="25"/>
  <c r="I119" i="25"/>
  <c r="BM119" i="25"/>
  <c r="I194" i="25"/>
  <c r="BM194" i="25"/>
  <c r="I206" i="25"/>
  <c r="BM206" i="25"/>
  <c r="I134" i="25"/>
  <c r="BM134" i="25"/>
  <c r="I205" i="25"/>
  <c r="BM205" i="25"/>
  <c r="I173" i="25"/>
  <c r="BM173" i="25"/>
  <c r="I141" i="25"/>
  <c r="BM141" i="25"/>
  <c r="I196" i="25"/>
  <c r="BM196" i="25"/>
  <c r="I164" i="25"/>
  <c r="BM164" i="25"/>
  <c r="I132" i="25"/>
  <c r="BM132" i="25"/>
  <c r="I179" i="25"/>
  <c r="BM179" i="25"/>
  <c r="I147" i="25"/>
  <c r="BM147" i="25"/>
  <c r="I115" i="25"/>
  <c r="BM115" i="25"/>
  <c r="I178" i="25"/>
  <c r="BM178" i="25"/>
  <c r="I185" i="25"/>
  <c r="BM185" i="25"/>
  <c r="I153" i="25"/>
  <c r="BM153" i="25"/>
  <c r="I121" i="25"/>
  <c r="BM121" i="25"/>
  <c r="I208" i="25"/>
  <c r="BM208" i="25"/>
  <c r="I176" i="25"/>
  <c r="BM176" i="25"/>
  <c r="I144" i="25"/>
  <c r="BM144" i="25"/>
  <c r="I112" i="25"/>
  <c r="BM112" i="25"/>
  <c r="I118" i="25"/>
  <c r="BM118" i="25"/>
  <c r="I191" i="25"/>
  <c r="BM191" i="25"/>
  <c r="I159" i="25"/>
  <c r="BM159" i="25"/>
  <c r="I127" i="25"/>
  <c r="BM127" i="25"/>
  <c r="I186" i="25"/>
  <c r="BM186" i="25"/>
  <c r="I182" i="25"/>
  <c r="BM182" i="25"/>
  <c r="I142" i="25"/>
  <c r="BM142" i="25"/>
  <c r="I126" i="25"/>
  <c r="BM126" i="25"/>
  <c r="I197" i="25"/>
  <c r="BM197" i="25"/>
  <c r="I181" i="25"/>
  <c r="BM181" i="25"/>
  <c r="I165" i="25"/>
  <c r="BM165" i="25"/>
  <c r="I149" i="25"/>
  <c r="BM149" i="25"/>
  <c r="I133" i="25"/>
  <c r="BM133" i="25"/>
  <c r="I117" i="25"/>
  <c r="BM117" i="25"/>
  <c r="I122" i="25"/>
  <c r="BM122" i="25"/>
  <c r="I204" i="25"/>
  <c r="BM204" i="25"/>
  <c r="I188" i="25"/>
  <c r="BM188" i="25"/>
  <c r="I172" i="25"/>
  <c r="BM172" i="25"/>
  <c r="I156" i="25"/>
  <c r="BM156" i="25"/>
  <c r="I140" i="25"/>
  <c r="BM140" i="25"/>
  <c r="I124" i="25"/>
  <c r="BM124" i="25"/>
  <c r="I174" i="25"/>
  <c r="BM174" i="25"/>
  <c r="I203" i="25"/>
  <c r="BM203" i="25"/>
  <c r="I187" i="25"/>
  <c r="BM187" i="25"/>
  <c r="I171" i="25"/>
  <c r="BM171" i="25"/>
  <c r="I155" i="25"/>
  <c r="BM155" i="25"/>
  <c r="I139" i="25"/>
  <c r="BM139" i="25"/>
  <c r="I123" i="25"/>
  <c r="BM123" i="25"/>
  <c r="CB6" i="25"/>
  <c r="CB7" i="25"/>
  <c r="I6" i="25"/>
  <c r="I7" i="25"/>
  <c r="I67" i="25"/>
  <c r="I86" i="25"/>
  <c r="I54" i="25"/>
  <c r="I22" i="25"/>
  <c r="I93" i="25"/>
  <c r="I61" i="25"/>
  <c r="I29" i="25"/>
  <c r="I104" i="25"/>
  <c r="I88" i="25"/>
  <c r="I72" i="25"/>
  <c r="I56" i="25"/>
  <c r="I40" i="25"/>
  <c r="I24" i="25"/>
  <c r="I8" i="25"/>
  <c r="I39" i="25"/>
  <c r="I15" i="25"/>
  <c r="I87" i="25"/>
  <c r="I51" i="25"/>
  <c r="I47" i="25"/>
  <c r="I43" i="25"/>
  <c r="I98" i="25"/>
  <c r="I82" i="25"/>
  <c r="I66" i="25"/>
  <c r="I50" i="25"/>
  <c r="I34" i="25"/>
  <c r="I18" i="25"/>
  <c r="I105" i="25"/>
  <c r="I89" i="25"/>
  <c r="I73" i="25"/>
  <c r="I57" i="25"/>
  <c r="I41" i="25"/>
  <c r="I25" i="25"/>
  <c r="I9" i="25"/>
  <c r="I100" i="25"/>
  <c r="I84" i="25"/>
  <c r="I68" i="25"/>
  <c r="I52" i="25"/>
  <c r="I36" i="25"/>
  <c r="I20" i="25"/>
  <c r="I59" i="25"/>
  <c r="I102" i="25"/>
  <c r="I38" i="25"/>
  <c r="I77" i="25"/>
  <c r="I13" i="25"/>
  <c r="I79" i="25"/>
  <c r="I23" i="25"/>
  <c r="I99" i="25"/>
  <c r="I91" i="25"/>
  <c r="I27" i="25"/>
  <c r="I94" i="25"/>
  <c r="I78" i="25"/>
  <c r="I62" i="25"/>
  <c r="I46" i="25"/>
  <c r="I30" i="25"/>
  <c r="I14" i="25"/>
  <c r="I101" i="25"/>
  <c r="I85" i="25"/>
  <c r="I69" i="25"/>
  <c r="I53" i="25"/>
  <c r="I37" i="25"/>
  <c r="I21" i="25"/>
  <c r="I96" i="25"/>
  <c r="I80" i="25"/>
  <c r="I64" i="25"/>
  <c r="I48" i="25"/>
  <c r="I32" i="25"/>
  <c r="I16" i="25"/>
  <c r="I55" i="25"/>
  <c r="I63" i="25"/>
  <c r="I95" i="25"/>
  <c r="I70" i="25"/>
  <c r="I45" i="25"/>
  <c r="I103" i="25"/>
  <c r="I35" i="25"/>
  <c r="I31" i="25"/>
  <c r="I71" i="25"/>
  <c r="I83" i="25"/>
  <c r="I19" i="25"/>
  <c r="I75" i="25"/>
  <c r="I11" i="25"/>
  <c r="I90" i="25"/>
  <c r="I74" i="25"/>
  <c r="I58" i="25"/>
  <c r="I42" i="25"/>
  <c r="I26" i="25"/>
  <c r="I10" i="25"/>
  <c r="I97" i="25"/>
  <c r="I81" i="25"/>
  <c r="I65" i="25"/>
  <c r="I49" i="25"/>
  <c r="I33" i="25"/>
  <c r="I17" i="25"/>
  <c r="I92" i="25"/>
  <c r="I76" i="25"/>
  <c r="I60" i="25"/>
  <c r="I44" i="25"/>
  <c r="I28" i="25"/>
  <c r="I12" i="25"/>
  <c r="I110" i="25"/>
  <c r="I216" i="25"/>
  <c r="B212" i="2"/>
  <c r="A210" i="2"/>
  <c r="B52" i="2"/>
  <c r="D209" i="2" l="1"/>
  <c r="A209" i="2"/>
  <c r="D208" i="2" l="1"/>
  <c r="D264" i="2"/>
  <c r="F12" i="1"/>
  <c r="C227" i="2"/>
  <c r="C236" i="2"/>
  <c r="D236" i="2"/>
  <c r="B47" i="19"/>
  <c r="B31" i="2" l="1"/>
  <c r="B20" i="2"/>
  <c r="B21" i="2"/>
  <c r="B24" i="2"/>
  <c r="C213" i="2"/>
  <c r="C52" i="2"/>
  <c r="B76" i="2"/>
  <c r="B81" i="2" s="1"/>
  <c r="B103" i="2" l="1"/>
  <c r="B58" i="2"/>
  <c r="C58" i="2"/>
  <c r="B264" i="2"/>
  <c r="C212" i="2"/>
  <c r="F212" i="2"/>
  <c r="D212" i="2"/>
  <c r="B209" i="2"/>
  <c r="B210" i="2"/>
  <c r="B124" i="2"/>
  <c r="B120" i="2"/>
  <c r="B220" i="2" s="1"/>
  <c r="B97" i="2"/>
  <c r="B95" i="2"/>
  <c r="D32" i="1"/>
  <c r="AM5" i="24"/>
  <c r="AM216" i="24"/>
  <c r="AM110" i="24"/>
  <c r="B215" i="2" l="1"/>
  <c r="B216" i="2"/>
  <c r="C32" i="16"/>
  <c r="B218" i="2"/>
  <c r="C31" i="16"/>
  <c r="I6" i="24"/>
  <c r="I7" i="24"/>
  <c r="I8" i="24"/>
  <c r="I9" i="24"/>
  <c r="I10" i="24"/>
  <c r="I11" i="24"/>
  <c r="I12" i="24"/>
  <c r="I13" i="24"/>
  <c r="I14" i="24"/>
  <c r="I15" i="24"/>
  <c r="I16" i="24"/>
  <c r="I17" i="24"/>
  <c r="I18" i="24"/>
  <c r="I19" i="24"/>
  <c r="I20" i="24"/>
  <c r="I21" i="24"/>
  <c r="I22" i="24"/>
  <c r="I23" i="24"/>
  <c r="I24" i="24"/>
  <c r="I25" i="24"/>
  <c r="I26" i="24"/>
  <c r="I27" i="24"/>
  <c r="I28" i="24"/>
  <c r="I29" i="24"/>
  <c r="I30" i="24"/>
  <c r="I31" i="24"/>
  <c r="I32" i="24"/>
  <c r="I33" i="24"/>
  <c r="I34" i="24"/>
  <c r="I35" i="24"/>
  <c r="I36" i="24"/>
  <c r="I37" i="24"/>
  <c r="I38" i="24"/>
  <c r="I39" i="24"/>
  <c r="I40" i="24"/>
  <c r="I41" i="24"/>
  <c r="I42" i="24"/>
  <c r="I43" i="24"/>
  <c r="I44" i="24"/>
  <c r="I45" i="24"/>
  <c r="I46" i="24"/>
  <c r="I47" i="24"/>
  <c r="I48" i="24"/>
  <c r="I49" i="24"/>
  <c r="I50" i="24"/>
  <c r="I51" i="24"/>
  <c r="I52" i="24"/>
  <c r="I53" i="24"/>
  <c r="I54" i="24"/>
  <c r="I55" i="24"/>
  <c r="I56" i="24"/>
  <c r="I57" i="24"/>
  <c r="I58" i="24"/>
  <c r="I59" i="24"/>
  <c r="I60" i="24"/>
  <c r="I61" i="24"/>
  <c r="I62" i="24"/>
  <c r="I63" i="24"/>
  <c r="I64" i="24"/>
  <c r="I65" i="24"/>
  <c r="I66" i="24"/>
  <c r="I67" i="24"/>
  <c r="I68" i="24"/>
  <c r="I69" i="24"/>
  <c r="I70" i="24"/>
  <c r="I71" i="24"/>
  <c r="I72" i="24"/>
  <c r="I73" i="24"/>
  <c r="I74" i="24"/>
  <c r="I75" i="24"/>
  <c r="I76" i="24"/>
  <c r="I77" i="24"/>
  <c r="I78" i="24"/>
  <c r="I79" i="24"/>
  <c r="I80" i="24"/>
  <c r="I81" i="24"/>
  <c r="I82" i="24"/>
  <c r="I83" i="24"/>
  <c r="I84" i="24"/>
  <c r="I85" i="24"/>
  <c r="I86" i="24"/>
  <c r="I87" i="24"/>
  <c r="I88" i="24"/>
  <c r="I89" i="24"/>
  <c r="I90" i="24"/>
  <c r="I91" i="24"/>
  <c r="I92" i="24"/>
  <c r="I93" i="24"/>
  <c r="I94" i="24"/>
  <c r="I95" i="24"/>
  <c r="I96" i="24"/>
  <c r="I97" i="24"/>
  <c r="I98" i="24"/>
  <c r="I99" i="24"/>
  <c r="I100" i="24"/>
  <c r="I101" i="24"/>
  <c r="I102" i="24"/>
  <c r="I103" i="24"/>
  <c r="I104" i="24"/>
  <c r="I105" i="24"/>
  <c r="I5" i="24"/>
  <c r="D21" i="19"/>
  <c r="D36" i="19"/>
  <c r="F12" i="19"/>
  <c r="D37" i="19"/>
  <c r="D35" i="19"/>
  <c r="B41" i="2"/>
  <c r="C41" i="16" s="1"/>
  <c r="D41" i="16" s="1"/>
  <c r="B33" i="19"/>
  <c r="F56" i="2"/>
  <c r="F50" i="2"/>
  <c r="D29" i="1"/>
  <c r="G237" i="2"/>
  <c r="C232" i="2"/>
  <c r="C233" i="2"/>
  <c r="A241" i="2"/>
  <c r="G51" i="2"/>
  <c r="A199" i="2"/>
  <c r="C245" i="2"/>
  <c r="U2" i="24" l="1"/>
  <c r="B162" i="2"/>
  <c r="B166" i="2" s="1"/>
  <c r="I9" i="8" s="1"/>
  <c r="I10" i="8"/>
  <c r="B147" i="2"/>
  <c r="B144" i="2"/>
  <c r="B56" i="2" l="1"/>
  <c r="C189" i="2"/>
  <c r="K44" i="2"/>
  <c r="K34" i="16" l="1"/>
  <c r="J34" i="16"/>
  <c r="K43" i="16"/>
  <c r="K42" i="16"/>
  <c r="J43" i="16"/>
  <c r="J42" i="16"/>
  <c r="I43" i="16" l="1"/>
  <c r="I42" i="16"/>
  <c r="H43" i="16"/>
  <c r="H42" i="16"/>
  <c r="J40" i="16"/>
  <c r="K40" i="16"/>
  <c r="K32" i="16"/>
  <c r="J32" i="16"/>
  <c r="K31" i="16"/>
  <c r="J31" i="16" l="1"/>
  <c r="T61" i="2"/>
  <c r="R61" i="2"/>
  <c r="B11" i="2" l="1"/>
  <c r="B33" i="2" s="1"/>
  <c r="B26" i="19"/>
  <c r="D26" i="19" s="1"/>
  <c r="B20" i="19"/>
  <c r="D20" i="19" s="1"/>
  <c r="B27" i="19"/>
  <c r="D27" i="19" s="1"/>
  <c r="B8" i="2"/>
  <c r="B115" i="2" s="1"/>
  <c r="B75" i="2"/>
  <c r="B80" i="2" s="1"/>
  <c r="B73" i="2"/>
  <c r="B123" i="2"/>
  <c r="BP106" i="19"/>
  <c r="D45" i="19"/>
  <c r="A34" i="16"/>
  <c r="A43" i="16"/>
  <c r="A42" i="16"/>
  <c r="C246" i="2"/>
  <c r="B261" i="2"/>
  <c r="B236" i="2"/>
  <c r="B232" i="2"/>
  <c r="J50" i="2"/>
  <c r="C229" i="2"/>
  <c r="B229" i="2"/>
  <c r="B32" i="19"/>
  <c r="D32" i="19" s="1"/>
  <c r="B31" i="19"/>
  <c r="D31" i="19" s="1"/>
  <c r="B30" i="19"/>
  <c r="D30" i="19" s="1"/>
  <c r="B8" i="19"/>
  <c r="D8" i="19" s="1"/>
  <c r="F91" i="19"/>
  <c r="F90" i="19"/>
  <c r="F89" i="19"/>
  <c r="D52" i="19"/>
  <c r="D51" i="19"/>
  <c r="D50" i="19"/>
  <c r="D49" i="19"/>
  <c r="D47" i="19"/>
  <c r="D44" i="19"/>
  <c r="D43" i="19"/>
  <c r="D40" i="19"/>
  <c r="D38" i="19"/>
  <c r="D33" i="19"/>
  <c r="D29" i="19"/>
  <c r="D23" i="19"/>
  <c r="D22" i="19"/>
  <c r="D13" i="19"/>
  <c r="B181" i="2" s="1"/>
  <c r="D12" i="19"/>
  <c r="A31" i="16"/>
  <c r="B214" i="2"/>
  <c r="A213" i="2"/>
  <c r="B9" i="2"/>
  <c r="I6" i="8"/>
  <c r="J6" i="8" s="1"/>
  <c r="D40" i="16"/>
  <c r="C45" i="16"/>
  <c r="B146" i="2"/>
  <c r="B149" i="2" s="1"/>
  <c r="B141" i="2"/>
  <c r="B199" i="2"/>
  <c r="B213" i="2"/>
  <c r="B7" i="2"/>
  <c r="B132" i="2"/>
  <c r="B134" i="2" s="1"/>
  <c r="B176" i="2"/>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E3" i="8"/>
  <c r="A208" i="2"/>
  <c r="B208" i="2"/>
  <c r="I14" i="8"/>
  <c r="B186" i="2"/>
  <c r="I13" i="8"/>
  <c r="J13" i="8" s="1"/>
  <c r="I7" i="8"/>
  <c r="J7" i="8" s="1"/>
  <c r="J14" i="8"/>
  <c r="B84" i="2" l="1"/>
  <c r="L6" i="1" s="1"/>
  <c r="G11" i="2"/>
  <c r="B61" i="2"/>
  <c r="M2" i="24"/>
  <c r="S5" i="24"/>
  <c r="T5" i="24" s="1"/>
  <c r="D39" i="16"/>
  <c r="K12" i="2"/>
  <c r="K11" i="2"/>
  <c r="BI9" i="25"/>
  <c r="BI69" i="25"/>
  <c r="BI15" i="25"/>
  <c r="BI31" i="25"/>
  <c r="BI47" i="25"/>
  <c r="BI63" i="25"/>
  <c r="BI79" i="25"/>
  <c r="BI29" i="25"/>
  <c r="BI65" i="25"/>
  <c r="BI8" i="25"/>
  <c r="BI24" i="25"/>
  <c r="BI40" i="25"/>
  <c r="BI56" i="25"/>
  <c r="BI72" i="25"/>
  <c r="BI88" i="25"/>
  <c r="BI49" i="25"/>
  <c r="BI6" i="25"/>
  <c r="BI22" i="25"/>
  <c r="BI38" i="25"/>
  <c r="BI54" i="25"/>
  <c r="BI70" i="25"/>
  <c r="BI86" i="25"/>
  <c r="BI102" i="25"/>
  <c r="BI104" i="25"/>
  <c r="BI97" i="25"/>
  <c r="BI105" i="25"/>
  <c r="BI42" i="25"/>
  <c r="BI74" i="25"/>
  <c r="BI92" i="25"/>
  <c r="BI99" i="25"/>
  <c r="BI27" i="25"/>
  <c r="BI75" i="25"/>
  <c r="BI5" i="25"/>
  <c r="BI68" i="25"/>
  <c r="BI85" i="25"/>
  <c r="BI34" i="25"/>
  <c r="BI82" i="25"/>
  <c r="BI95" i="25"/>
  <c r="BI21" i="25"/>
  <c r="BI81" i="25"/>
  <c r="BI19" i="25"/>
  <c r="BI35" i="25"/>
  <c r="BI51" i="25"/>
  <c r="BI67" i="25"/>
  <c r="BI83" i="25"/>
  <c r="BI33" i="25"/>
  <c r="BI77" i="25"/>
  <c r="BI12" i="25"/>
  <c r="BI28" i="25"/>
  <c r="BI44" i="25"/>
  <c r="BI60" i="25"/>
  <c r="BI76" i="25"/>
  <c r="BI13" i="25"/>
  <c r="BI61" i="25"/>
  <c r="BI10" i="25"/>
  <c r="BI26" i="25"/>
  <c r="BI58" i="25"/>
  <c r="BI90" i="25"/>
  <c r="BI91" i="25"/>
  <c r="BI11" i="25"/>
  <c r="BI17" i="25"/>
  <c r="BI36" i="25"/>
  <c r="BI37" i="25"/>
  <c r="BI50" i="25"/>
  <c r="BI96" i="25"/>
  <c r="BI41" i="25"/>
  <c r="BI7" i="25"/>
  <c r="BI23" i="25"/>
  <c r="BI39" i="25"/>
  <c r="BI55" i="25"/>
  <c r="BI71" i="25"/>
  <c r="BI87" i="25"/>
  <c r="BI45" i="25"/>
  <c r="BI89" i="25"/>
  <c r="BI16" i="25"/>
  <c r="BI32" i="25"/>
  <c r="BI48" i="25"/>
  <c r="BI64" i="25"/>
  <c r="BI80" i="25"/>
  <c r="BI25" i="25"/>
  <c r="BI73" i="25"/>
  <c r="BI14" i="25"/>
  <c r="BI30" i="25"/>
  <c r="BI46" i="25"/>
  <c r="BI62" i="25"/>
  <c r="BI78" i="25"/>
  <c r="BI98" i="25"/>
  <c r="BI100" i="25"/>
  <c r="BI93" i="25"/>
  <c r="BI101" i="25"/>
  <c r="BI53" i="25"/>
  <c r="BI43" i="25"/>
  <c r="BI59" i="25"/>
  <c r="BI57" i="25"/>
  <c r="BI20" i="25"/>
  <c r="BI52" i="25"/>
  <c r="BI84" i="25"/>
  <c r="BI18" i="25"/>
  <c r="BI66" i="25"/>
  <c r="BI94" i="25"/>
  <c r="BI103" i="25"/>
  <c r="BQ5" i="24"/>
  <c r="B28" i="2"/>
  <c r="C39" i="16"/>
  <c r="R42" i="2"/>
  <c r="J210" i="25"/>
  <c r="J206" i="25"/>
  <c r="J202" i="25"/>
  <c r="J198" i="25"/>
  <c r="J194" i="25"/>
  <c r="J190" i="25"/>
  <c r="J186" i="25"/>
  <c r="J182" i="25"/>
  <c r="J178" i="25"/>
  <c r="J174" i="25"/>
  <c r="J170" i="25"/>
  <c r="J166" i="25"/>
  <c r="J162" i="25"/>
  <c r="J158" i="25"/>
  <c r="J154" i="25"/>
  <c r="J150" i="25"/>
  <c r="J146" i="25"/>
  <c r="J142" i="25"/>
  <c r="J138" i="25"/>
  <c r="J134" i="25"/>
  <c r="J130" i="25"/>
  <c r="J126" i="25"/>
  <c r="J122" i="25"/>
  <c r="J118" i="25"/>
  <c r="J114" i="25"/>
  <c r="J207" i="25"/>
  <c r="J179" i="25"/>
  <c r="J167" i="25"/>
  <c r="J155" i="25"/>
  <c r="J147" i="25"/>
  <c r="J135" i="25"/>
  <c r="J119" i="25"/>
  <c r="J111" i="25"/>
  <c r="J209" i="25"/>
  <c r="J205" i="25"/>
  <c r="J201" i="25"/>
  <c r="J197" i="25"/>
  <c r="J193" i="25"/>
  <c r="J189" i="25"/>
  <c r="J185" i="25"/>
  <c r="J181" i="25"/>
  <c r="J177" i="25"/>
  <c r="J173" i="25"/>
  <c r="J169" i="25"/>
  <c r="J165" i="25"/>
  <c r="J161" i="25"/>
  <c r="J157" i="25"/>
  <c r="J153" i="25"/>
  <c r="J149" i="25"/>
  <c r="J145" i="25"/>
  <c r="J141" i="25"/>
  <c r="J137" i="25"/>
  <c r="J133" i="25"/>
  <c r="J129" i="25"/>
  <c r="J125" i="25"/>
  <c r="J121" i="25"/>
  <c r="J117" i="25"/>
  <c r="J113" i="25"/>
  <c r="J110" i="25"/>
  <c r="BI110" i="25" s="1"/>
  <c r="J203" i="25"/>
  <c r="J195" i="25"/>
  <c r="J191" i="25"/>
  <c r="J187" i="25"/>
  <c r="J175" i="25"/>
  <c r="J159" i="25"/>
  <c r="J139" i="25"/>
  <c r="J127" i="25"/>
  <c r="J208" i="25"/>
  <c r="J204" i="25"/>
  <c r="J200" i="25"/>
  <c r="J196" i="25"/>
  <c r="J192" i="25"/>
  <c r="J188" i="25"/>
  <c r="J184" i="25"/>
  <c r="J180" i="25"/>
  <c r="J176" i="25"/>
  <c r="J172" i="25"/>
  <c r="J168" i="25"/>
  <c r="J164" i="25"/>
  <c r="J160" i="25"/>
  <c r="J156" i="25"/>
  <c r="J152" i="25"/>
  <c r="J148" i="25"/>
  <c r="J144" i="25"/>
  <c r="J140" i="25"/>
  <c r="J136" i="25"/>
  <c r="J132" i="25"/>
  <c r="J128" i="25"/>
  <c r="J124" i="25"/>
  <c r="J120" i="25"/>
  <c r="J116" i="25"/>
  <c r="J112" i="25"/>
  <c r="J199" i="25"/>
  <c r="J183" i="25"/>
  <c r="J171" i="25"/>
  <c r="J163" i="25"/>
  <c r="J151" i="25"/>
  <c r="J143" i="25"/>
  <c r="J131" i="25"/>
  <c r="J123" i="25"/>
  <c r="J115" i="25"/>
  <c r="B14" i="2"/>
  <c r="H110" i="25"/>
  <c r="AH110" i="25" s="1"/>
  <c r="H5" i="25"/>
  <c r="AH5" i="25" s="1"/>
  <c r="H216" i="25"/>
  <c r="AH216" i="25" s="1"/>
  <c r="L105" i="25"/>
  <c r="L101" i="25"/>
  <c r="L97" i="25"/>
  <c r="L93" i="25"/>
  <c r="N104" i="25"/>
  <c r="N96" i="25"/>
  <c r="N93" i="25"/>
  <c r="N83" i="25"/>
  <c r="N75" i="25"/>
  <c r="N67" i="25"/>
  <c r="N59" i="25"/>
  <c r="N51" i="25"/>
  <c r="N43" i="25"/>
  <c r="L37" i="25"/>
  <c r="N31" i="25"/>
  <c r="N23" i="25"/>
  <c r="N15" i="25"/>
  <c r="L84" i="25"/>
  <c r="L64" i="25"/>
  <c r="L48" i="25"/>
  <c r="L28" i="25"/>
  <c r="L12" i="25"/>
  <c r="L8" i="25"/>
  <c r="N99" i="25"/>
  <c r="N86" i="25"/>
  <c r="N78" i="25"/>
  <c r="N70" i="25"/>
  <c r="N50" i="25"/>
  <c r="N38" i="25"/>
  <c r="N34" i="25"/>
  <c r="N18" i="25"/>
  <c r="N95" i="25"/>
  <c r="L83" i="25"/>
  <c r="L75" i="25"/>
  <c r="L67" i="25"/>
  <c r="L104" i="25"/>
  <c r="L100" i="25"/>
  <c r="L96" i="25"/>
  <c r="L92" i="25"/>
  <c r="N102" i="25"/>
  <c r="N94" i="25"/>
  <c r="L90" i="25"/>
  <c r="L82" i="25"/>
  <c r="L74" i="25"/>
  <c r="L66" i="25"/>
  <c r="L58" i="25"/>
  <c r="L50" i="25"/>
  <c r="L42" i="25"/>
  <c r="L36" i="25"/>
  <c r="L30" i="25"/>
  <c r="L22" i="25"/>
  <c r="L14" i="25"/>
  <c r="N81" i="25"/>
  <c r="L60" i="25"/>
  <c r="N45" i="25"/>
  <c r="N21" i="25"/>
  <c r="L11" i="25"/>
  <c r="L7" i="25"/>
  <c r="N91" i="25"/>
  <c r="L102" i="25"/>
  <c r="L98" i="25"/>
  <c r="L94" i="25"/>
  <c r="N98" i="25"/>
  <c r="N101" i="25"/>
  <c r="L86" i="25"/>
  <c r="L78" i="25"/>
  <c r="L70" i="25"/>
  <c r="L62" i="25"/>
  <c r="L54" i="25"/>
  <c r="L46" i="25"/>
  <c r="L38" i="25"/>
  <c r="L34" i="25"/>
  <c r="L26" i="25"/>
  <c r="L18" i="25"/>
  <c r="N89" i="25"/>
  <c r="N69" i="25"/>
  <c r="L52" i="25"/>
  <c r="N41" i="25"/>
  <c r="N13" i="25"/>
  <c r="L9" i="25"/>
  <c r="L5" i="25"/>
  <c r="L89" i="25"/>
  <c r="L99" i="25"/>
  <c r="N71" i="25"/>
  <c r="N39" i="25"/>
  <c r="N97" i="25"/>
  <c r="L16" i="25"/>
  <c r="L85" i="25"/>
  <c r="N74" i="25"/>
  <c r="L53" i="25"/>
  <c r="N37" i="25"/>
  <c r="N26" i="25"/>
  <c r="L87" i="25"/>
  <c r="N76" i="25"/>
  <c r="N64" i="25"/>
  <c r="N56" i="25"/>
  <c r="N48" i="25"/>
  <c r="N40" i="25"/>
  <c r="N28" i="25"/>
  <c r="N20" i="25"/>
  <c r="N12" i="25"/>
  <c r="N8" i="25"/>
  <c r="N105" i="25"/>
  <c r="N77" i="25"/>
  <c r="N65" i="25"/>
  <c r="N49" i="25"/>
  <c r="N29" i="25"/>
  <c r="N17" i="25"/>
  <c r="L61" i="25"/>
  <c r="L41" i="25"/>
  <c r="L21" i="25"/>
  <c r="N11" i="25"/>
  <c r="L88" i="25"/>
  <c r="N61" i="25"/>
  <c r="N25" i="25"/>
  <c r="N66" i="25"/>
  <c r="L57" i="25"/>
  <c r="L17" i="25"/>
  <c r="L91" i="25"/>
  <c r="N100" i="25"/>
  <c r="N27" i="25"/>
  <c r="N53" i="25"/>
  <c r="L81" i="25"/>
  <c r="N35" i="25"/>
  <c r="N14" i="25"/>
  <c r="N80" i="25"/>
  <c r="N60" i="25"/>
  <c r="N44" i="25"/>
  <c r="N24" i="25"/>
  <c r="N10" i="25"/>
  <c r="N85" i="25"/>
  <c r="N33" i="25"/>
  <c r="L65" i="25"/>
  <c r="L29" i="25"/>
  <c r="L95" i="25"/>
  <c r="N63" i="25"/>
  <c r="L35" i="25"/>
  <c r="L72" i="25"/>
  <c r="L10" i="25"/>
  <c r="N82" i="25"/>
  <c r="L73" i="25"/>
  <c r="N46" i="25"/>
  <c r="N36" i="25"/>
  <c r="N22" i="25"/>
  <c r="N84" i="25"/>
  <c r="N72" i="25"/>
  <c r="L63" i="25"/>
  <c r="L55" i="25"/>
  <c r="L47" i="25"/>
  <c r="L39" i="25"/>
  <c r="L27" i="25"/>
  <c r="L19" i="25"/>
  <c r="N7" i="25"/>
  <c r="T7" i="25" s="1"/>
  <c r="L76" i="25"/>
  <c r="L40" i="25"/>
  <c r="L33" i="25"/>
  <c r="N87" i="25"/>
  <c r="L6" i="25"/>
  <c r="L45" i="25"/>
  <c r="N103" i="25"/>
  <c r="N52" i="25"/>
  <c r="N16" i="25"/>
  <c r="N73" i="25"/>
  <c r="L24" i="25"/>
  <c r="L13" i="25"/>
  <c r="L103" i="25"/>
  <c r="N92" i="25"/>
  <c r="N79" i="25"/>
  <c r="N47" i="25"/>
  <c r="N19" i="25"/>
  <c r="L44" i="25"/>
  <c r="N90" i="25"/>
  <c r="L77" i="25"/>
  <c r="N58" i="25"/>
  <c r="N42" i="25"/>
  <c r="N30" i="25"/>
  <c r="N88" i="25"/>
  <c r="L79" i="25"/>
  <c r="N68" i="25"/>
  <c r="L59" i="25"/>
  <c r="L51" i="25"/>
  <c r="L43" i="25"/>
  <c r="L31" i="25"/>
  <c r="L23" i="25"/>
  <c r="L15" i="25"/>
  <c r="N9" i="25"/>
  <c r="N5" i="25"/>
  <c r="L80" i="25"/>
  <c r="L68" i="25"/>
  <c r="L56" i="25"/>
  <c r="L32" i="25"/>
  <c r="L20" i="25"/>
  <c r="N62" i="25"/>
  <c r="L49" i="25"/>
  <c r="L25" i="25"/>
  <c r="N55" i="25"/>
  <c r="L69" i="25"/>
  <c r="L71" i="25"/>
  <c r="N32" i="25"/>
  <c r="N6" i="25"/>
  <c r="T6" i="25" s="1"/>
  <c r="N57" i="25"/>
  <c r="N54" i="25"/>
  <c r="J313" i="25"/>
  <c r="J309" i="25"/>
  <c r="J305" i="25"/>
  <c r="J301" i="25"/>
  <c r="J297" i="25"/>
  <c r="J293" i="25"/>
  <c r="J289" i="25"/>
  <c r="J285" i="25"/>
  <c r="J281" i="25"/>
  <c r="J277" i="25"/>
  <c r="J273" i="25"/>
  <c r="J269" i="25"/>
  <c r="J265" i="25"/>
  <c r="J261" i="25"/>
  <c r="J257" i="25"/>
  <c r="J253" i="25"/>
  <c r="J249" i="25"/>
  <c r="J245" i="25"/>
  <c r="J241" i="25"/>
  <c r="J237" i="25"/>
  <c r="J233" i="25"/>
  <c r="J229" i="25"/>
  <c r="J225" i="25"/>
  <c r="J221" i="25"/>
  <c r="J217" i="25"/>
  <c r="J316" i="25"/>
  <c r="J312" i="25"/>
  <c r="J308" i="25"/>
  <c r="J304" i="25"/>
  <c r="J300" i="25"/>
  <c r="J296" i="25"/>
  <c r="J292" i="25"/>
  <c r="J288" i="25"/>
  <c r="J284" i="25"/>
  <c r="J280" i="25"/>
  <c r="J276" i="25"/>
  <c r="J272" i="25"/>
  <c r="J268" i="25"/>
  <c r="J264" i="25"/>
  <c r="J260" i="25"/>
  <c r="J256" i="25"/>
  <c r="J252" i="25"/>
  <c r="J248" i="25"/>
  <c r="J244" i="25"/>
  <c r="J240" i="25"/>
  <c r="J236" i="25"/>
  <c r="J232" i="25"/>
  <c r="J228" i="25"/>
  <c r="J224" i="25"/>
  <c r="J220" i="25"/>
  <c r="J315" i="25"/>
  <c r="J311" i="25"/>
  <c r="J307" i="25"/>
  <c r="J303" i="25"/>
  <c r="J299" i="25"/>
  <c r="J295" i="25"/>
  <c r="J291" i="25"/>
  <c r="J287" i="25"/>
  <c r="J283" i="25"/>
  <c r="J279" i="25"/>
  <c r="J275" i="25"/>
  <c r="J271" i="25"/>
  <c r="J267" i="25"/>
  <c r="J263" i="25"/>
  <c r="J259" i="25"/>
  <c r="J255" i="25"/>
  <c r="J251" i="25"/>
  <c r="J247" i="25"/>
  <c r="J243" i="25"/>
  <c r="J239" i="25"/>
  <c r="J235" i="25"/>
  <c r="J231" i="25"/>
  <c r="J227" i="25"/>
  <c r="J223" i="25"/>
  <c r="J219" i="25"/>
  <c r="J216" i="25"/>
  <c r="J314" i="25"/>
  <c r="J310" i="25"/>
  <c r="J306" i="25"/>
  <c r="J302" i="25"/>
  <c r="J298" i="25"/>
  <c r="J294" i="25"/>
  <c r="J290" i="25"/>
  <c r="J286" i="25"/>
  <c r="J282" i="25"/>
  <c r="J266" i="25"/>
  <c r="J250" i="25"/>
  <c r="J234" i="25"/>
  <c r="J218" i="25"/>
  <c r="J278" i="25"/>
  <c r="J262" i="25"/>
  <c r="J246" i="25"/>
  <c r="J230" i="25"/>
  <c r="J274" i="25"/>
  <c r="J258" i="25"/>
  <c r="J242" i="25"/>
  <c r="J226" i="25"/>
  <c r="J270" i="25"/>
  <c r="J254" i="25"/>
  <c r="J238" i="25"/>
  <c r="J222" i="25"/>
  <c r="B63" i="2"/>
  <c r="B62" i="2"/>
  <c r="B161" i="2"/>
  <c r="E26" i="1" s="1"/>
  <c r="BK105" i="24"/>
  <c r="BK65" i="24"/>
  <c r="BK25" i="24"/>
  <c r="BK100" i="24"/>
  <c r="BK84" i="24"/>
  <c r="BK68" i="24"/>
  <c r="BK52" i="24"/>
  <c r="BK36" i="24"/>
  <c r="BK20" i="24"/>
  <c r="BK97" i="24"/>
  <c r="BK37" i="24"/>
  <c r="BK95" i="24"/>
  <c r="BK79" i="24"/>
  <c r="BK63" i="24"/>
  <c r="BK47" i="24"/>
  <c r="BK31" i="24"/>
  <c r="BK15" i="24"/>
  <c r="BK89" i="24"/>
  <c r="BK45" i="24"/>
  <c r="BK98" i="24"/>
  <c r="BK82" i="24"/>
  <c r="BK66" i="24"/>
  <c r="BK50" i="24"/>
  <c r="BK34" i="24"/>
  <c r="BK18" i="24"/>
  <c r="BK78" i="24"/>
  <c r="BK46" i="24"/>
  <c r="BK30" i="24"/>
  <c r="BK83" i="24"/>
  <c r="BK19" i="24"/>
  <c r="BK102" i="24"/>
  <c r="BK70" i="24"/>
  <c r="BK22" i="24"/>
  <c r="BK93" i="24"/>
  <c r="BK49" i="24"/>
  <c r="BK13" i="24"/>
  <c r="BK96" i="24"/>
  <c r="BK80" i="24"/>
  <c r="BK64" i="24"/>
  <c r="BK48" i="24"/>
  <c r="BK32" i="24"/>
  <c r="BK16" i="24"/>
  <c r="BK81" i="24"/>
  <c r="BK21" i="24"/>
  <c r="BK91" i="24"/>
  <c r="BK75" i="24"/>
  <c r="BK59" i="24"/>
  <c r="BK43" i="24"/>
  <c r="BK27" i="24"/>
  <c r="BK11" i="24"/>
  <c r="BK77" i="24"/>
  <c r="BK33" i="24"/>
  <c r="BK94" i="24"/>
  <c r="BK62" i="24"/>
  <c r="BK14" i="24"/>
  <c r="BK51" i="24"/>
  <c r="BK53" i="24"/>
  <c r="BK54" i="24"/>
  <c r="BK85" i="24"/>
  <c r="BK41" i="24"/>
  <c r="BK9" i="24"/>
  <c r="BK92" i="24"/>
  <c r="BK76" i="24"/>
  <c r="BK60" i="24"/>
  <c r="BK44" i="24"/>
  <c r="BK28" i="24"/>
  <c r="BK12" i="24"/>
  <c r="BK69" i="24"/>
  <c r="BK103" i="24"/>
  <c r="BK87" i="24"/>
  <c r="BK71" i="24"/>
  <c r="BK55" i="24"/>
  <c r="BK39" i="24"/>
  <c r="BK23" i="24"/>
  <c r="BK7" i="24"/>
  <c r="BK61" i="24"/>
  <c r="BK17" i="24"/>
  <c r="BK90" i="24"/>
  <c r="BK74" i="24"/>
  <c r="BK58" i="24"/>
  <c r="BK42" i="24"/>
  <c r="BK26" i="24"/>
  <c r="BK10" i="24"/>
  <c r="BK73" i="24"/>
  <c r="BK29" i="24"/>
  <c r="BK104" i="24"/>
  <c r="BK88" i="24"/>
  <c r="BK72" i="24"/>
  <c r="BK56" i="24"/>
  <c r="BK40" i="24"/>
  <c r="BK24" i="24"/>
  <c r="BK8" i="24"/>
  <c r="BK57" i="24"/>
  <c r="BK99" i="24"/>
  <c r="BK67" i="24"/>
  <c r="BK35" i="24"/>
  <c r="BK101" i="24"/>
  <c r="BK86" i="24"/>
  <c r="BK38" i="24"/>
  <c r="BK6" i="24"/>
  <c r="B182" i="2"/>
  <c r="BK5" i="24"/>
  <c r="B178" i="2"/>
  <c r="B30" i="2"/>
  <c r="AW2" i="25" s="1"/>
  <c r="B125" i="2"/>
  <c r="I113" i="24"/>
  <c r="I117" i="24"/>
  <c r="I121" i="24"/>
  <c r="I125" i="24"/>
  <c r="I129" i="24"/>
  <c r="I133" i="24"/>
  <c r="I137" i="24"/>
  <c r="I141" i="24"/>
  <c r="I145" i="24"/>
  <c r="I149" i="24"/>
  <c r="I153" i="24"/>
  <c r="I157" i="24"/>
  <c r="I161" i="24"/>
  <c r="I165" i="24"/>
  <c r="I169" i="24"/>
  <c r="I173" i="24"/>
  <c r="I177" i="24"/>
  <c r="I181" i="24"/>
  <c r="I185" i="24"/>
  <c r="I189" i="24"/>
  <c r="I193" i="24"/>
  <c r="I197" i="24"/>
  <c r="I201" i="24"/>
  <c r="I205" i="24"/>
  <c r="I209" i="24"/>
  <c r="I114" i="24"/>
  <c r="I118" i="24"/>
  <c r="I122" i="24"/>
  <c r="I126" i="24"/>
  <c r="I130" i="24"/>
  <c r="I134" i="24"/>
  <c r="I138" i="24"/>
  <c r="I116" i="24"/>
  <c r="I124" i="24"/>
  <c r="I132" i="24"/>
  <c r="I140" i="24"/>
  <c r="I146" i="24"/>
  <c r="I151" i="24"/>
  <c r="I156" i="24"/>
  <c r="I162" i="24"/>
  <c r="I167" i="24"/>
  <c r="I172" i="24"/>
  <c r="I178" i="24"/>
  <c r="I183" i="24"/>
  <c r="I188" i="24"/>
  <c r="I194" i="24"/>
  <c r="I199" i="24"/>
  <c r="I204" i="24"/>
  <c r="I210" i="24"/>
  <c r="I111" i="24"/>
  <c r="I119" i="24"/>
  <c r="I127" i="24"/>
  <c r="I135" i="24"/>
  <c r="I142" i="24"/>
  <c r="I147" i="24"/>
  <c r="I152" i="24"/>
  <c r="I158" i="24"/>
  <c r="I163" i="24"/>
  <c r="I168" i="24"/>
  <c r="I174" i="24"/>
  <c r="I179" i="24"/>
  <c r="I184" i="24"/>
  <c r="I190" i="24"/>
  <c r="I195" i="24"/>
  <c r="I200" i="24"/>
  <c r="I206" i="24"/>
  <c r="I110" i="24"/>
  <c r="BK110" i="24" s="1"/>
  <c r="I112" i="24"/>
  <c r="I120" i="24"/>
  <c r="I128" i="24"/>
  <c r="I136" i="24"/>
  <c r="I143" i="24"/>
  <c r="I148" i="24"/>
  <c r="I154" i="24"/>
  <c r="I159" i="24"/>
  <c r="I164" i="24"/>
  <c r="I170" i="24"/>
  <c r="I175" i="24"/>
  <c r="I180" i="24"/>
  <c r="I186" i="24"/>
  <c r="I191" i="24"/>
  <c r="I196" i="24"/>
  <c r="I202" i="24"/>
  <c r="I207" i="24"/>
  <c r="I115" i="24"/>
  <c r="I123" i="24"/>
  <c r="I131" i="24"/>
  <c r="I139" i="24"/>
  <c r="I144" i="24"/>
  <c r="I150" i="24"/>
  <c r="I155" i="24"/>
  <c r="I160" i="24"/>
  <c r="I166" i="24"/>
  <c r="I171" i="24"/>
  <c r="I176" i="24"/>
  <c r="I182" i="24"/>
  <c r="I187" i="24"/>
  <c r="I192" i="24"/>
  <c r="I198" i="24"/>
  <c r="I203" i="24"/>
  <c r="I208" i="24"/>
  <c r="H216" i="24"/>
  <c r="H110" i="24"/>
  <c r="I217" i="24"/>
  <c r="I221" i="24"/>
  <c r="I225" i="24"/>
  <c r="I229" i="24"/>
  <c r="I233" i="24"/>
  <c r="I237" i="24"/>
  <c r="I241" i="24"/>
  <c r="I245" i="24"/>
  <c r="I249" i="24"/>
  <c r="I253" i="24"/>
  <c r="I257" i="24"/>
  <c r="I261" i="24"/>
  <c r="I265" i="24"/>
  <c r="I269" i="24"/>
  <c r="I273" i="24"/>
  <c r="I277" i="24"/>
  <c r="I281" i="24"/>
  <c r="I285" i="24"/>
  <c r="I289" i="24"/>
  <c r="I293" i="24"/>
  <c r="I297" i="24"/>
  <c r="I301" i="24"/>
  <c r="I305" i="24"/>
  <c r="I309" i="24"/>
  <c r="I313" i="24"/>
  <c r="I216" i="24"/>
  <c r="I219" i="24"/>
  <c r="I235" i="24"/>
  <c r="I243" i="24"/>
  <c r="I251" i="24"/>
  <c r="I259" i="24"/>
  <c r="I267" i="24"/>
  <c r="I275" i="24"/>
  <c r="I283" i="24"/>
  <c r="I291" i="24"/>
  <c r="I299" i="24"/>
  <c r="I303" i="24"/>
  <c r="I311" i="24"/>
  <c r="I224" i="24"/>
  <c r="I232" i="24"/>
  <c r="I240" i="24"/>
  <c r="I248" i="24"/>
  <c r="I256" i="24"/>
  <c r="I264" i="24"/>
  <c r="I272" i="24"/>
  <c r="I280" i="24"/>
  <c r="I288" i="24"/>
  <c r="I296" i="24"/>
  <c r="I300" i="24"/>
  <c r="I308" i="24"/>
  <c r="I218" i="24"/>
  <c r="I222" i="24"/>
  <c r="I226" i="24"/>
  <c r="I230" i="24"/>
  <c r="I234" i="24"/>
  <c r="I238" i="24"/>
  <c r="I242" i="24"/>
  <c r="I246" i="24"/>
  <c r="I250" i="24"/>
  <c r="I254" i="24"/>
  <c r="I258" i="24"/>
  <c r="I262" i="24"/>
  <c r="I266" i="24"/>
  <c r="I270" i="24"/>
  <c r="I274" i="24"/>
  <c r="I278" i="24"/>
  <c r="I282" i="24"/>
  <c r="I286" i="24"/>
  <c r="I290" i="24"/>
  <c r="I294" i="24"/>
  <c r="I298" i="24"/>
  <c r="I302" i="24"/>
  <c r="I306" i="24"/>
  <c r="I310" i="24"/>
  <c r="I314" i="24"/>
  <c r="I223" i="24"/>
  <c r="I227" i="24"/>
  <c r="I231" i="24"/>
  <c r="I239" i="24"/>
  <c r="I247" i="24"/>
  <c r="I255" i="24"/>
  <c r="I263" i="24"/>
  <c r="I271" i="24"/>
  <c r="I279" i="24"/>
  <c r="I287" i="24"/>
  <c r="I295" i="24"/>
  <c r="I307" i="24"/>
  <c r="I315" i="24"/>
  <c r="I220" i="24"/>
  <c r="I228" i="24"/>
  <c r="I236" i="24"/>
  <c r="I244" i="24"/>
  <c r="I252" i="24"/>
  <c r="I260" i="24"/>
  <c r="I268" i="24"/>
  <c r="I276" i="24"/>
  <c r="I284" i="24"/>
  <c r="I292" i="24"/>
  <c r="I304" i="24"/>
  <c r="I312" i="24"/>
  <c r="I316" i="24"/>
  <c r="E15" i="23"/>
  <c r="R15" i="23" s="1"/>
  <c r="E23" i="23"/>
  <c r="R23" i="23" s="1"/>
  <c r="E31" i="23"/>
  <c r="R31" i="23" s="1"/>
  <c r="E39" i="23"/>
  <c r="R39" i="23" s="1"/>
  <c r="E47" i="23"/>
  <c r="R47" i="23" s="1"/>
  <c r="E55" i="23"/>
  <c r="R55" i="23" s="1"/>
  <c r="E63" i="23"/>
  <c r="R63" i="23" s="1"/>
  <c r="E71" i="23"/>
  <c r="R71" i="23" s="1"/>
  <c r="E79" i="23"/>
  <c r="R79" i="23" s="1"/>
  <c r="E87" i="23"/>
  <c r="R87" i="23" s="1"/>
  <c r="E95" i="23"/>
  <c r="R95" i="23" s="1"/>
  <c r="E103" i="23"/>
  <c r="R103" i="23" s="1"/>
  <c r="E20" i="23"/>
  <c r="R20" i="23" s="1"/>
  <c r="E44" i="23"/>
  <c r="R44" i="23" s="1"/>
  <c r="E68" i="23"/>
  <c r="R68" i="23" s="1"/>
  <c r="E84" i="23"/>
  <c r="R84" i="23" s="1"/>
  <c r="E7" i="23"/>
  <c r="R7" i="23" s="1"/>
  <c r="E16" i="23"/>
  <c r="R16" i="23" s="1"/>
  <c r="E24" i="23"/>
  <c r="R24" i="23" s="1"/>
  <c r="E32" i="23"/>
  <c r="R32" i="23" s="1"/>
  <c r="E40" i="23"/>
  <c r="R40" i="23" s="1"/>
  <c r="E48" i="23"/>
  <c r="R48" i="23" s="1"/>
  <c r="E56" i="23"/>
  <c r="R56" i="23" s="1"/>
  <c r="E64" i="23"/>
  <c r="R64" i="23" s="1"/>
  <c r="E72" i="23"/>
  <c r="R72" i="23" s="1"/>
  <c r="E80" i="23"/>
  <c r="R80" i="23" s="1"/>
  <c r="E88" i="23"/>
  <c r="R88" i="23" s="1"/>
  <c r="E96" i="23"/>
  <c r="R96" i="23" s="1"/>
  <c r="E104" i="23"/>
  <c r="R104" i="23" s="1"/>
  <c r="E28" i="23"/>
  <c r="R28" i="23" s="1"/>
  <c r="E60" i="23"/>
  <c r="R60" i="23" s="1"/>
  <c r="E92" i="23"/>
  <c r="R92" i="23" s="1"/>
  <c r="E11" i="23"/>
  <c r="R11" i="23" s="1"/>
  <c r="E19" i="23"/>
  <c r="R19" i="23" s="1"/>
  <c r="E27" i="23"/>
  <c r="R27" i="23" s="1"/>
  <c r="E35" i="23"/>
  <c r="R35" i="23" s="1"/>
  <c r="E43" i="23"/>
  <c r="R43" i="23" s="1"/>
  <c r="E51" i="23"/>
  <c r="R51" i="23" s="1"/>
  <c r="E59" i="23"/>
  <c r="R59" i="23" s="1"/>
  <c r="E67" i="23"/>
  <c r="R67" i="23" s="1"/>
  <c r="E75" i="23"/>
  <c r="R75" i="23" s="1"/>
  <c r="E83" i="23"/>
  <c r="R83" i="23" s="1"/>
  <c r="E91" i="23"/>
  <c r="R91" i="23" s="1"/>
  <c r="E99" i="23"/>
  <c r="R99" i="23" s="1"/>
  <c r="E6" i="23"/>
  <c r="R6" i="23" s="1"/>
  <c r="E12" i="23"/>
  <c r="R12" i="23" s="1"/>
  <c r="E36" i="23"/>
  <c r="R36" i="23" s="1"/>
  <c r="E52" i="23"/>
  <c r="R52" i="23" s="1"/>
  <c r="E76" i="23"/>
  <c r="R76" i="23" s="1"/>
  <c r="E100" i="23"/>
  <c r="R100" i="23" s="1"/>
  <c r="K16" i="24"/>
  <c r="M58" i="24"/>
  <c r="N58" i="24" s="1"/>
  <c r="M42" i="24"/>
  <c r="N42" i="24" s="1"/>
  <c r="M26" i="24"/>
  <c r="N26" i="24" s="1"/>
  <c r="K10" i="24"/>
  <c r="K45" i="24"/>
  <c r="K29" i="24"/>
  <c r="M7" i="24"/>
  <c r="N7" i="24" s="1"/>
  <c r="M54" i="24"/>
  <c r="N54" i="24" s="1"/>
  <c r="M38" i="24"/>
  <c r="N38" i="24" s="1"/>
  <c r="K22" i="24"/>
  <c r="M6" i="24"/>
  <c r="N6" i="24" s="1"/>
  <c r="K57" i="24"/>
  <c r="K41" i="24"/>
  <c r="K25" i="24"/>
  <c r="K20" i="24"/>
  <c r="M34" i="24"/>
  <c r="N34" i="24" s="1"/>
  <c r="K12" i="24"/>
  <c r="K53" i="24"/>
  <c r="E94" i="23"/>
  <c r="R94" i="23" s="1"/>
  <c r="E78" i="23"/>
  <c r="R78" i="23" s="1"/>
  <c r="E62" i="23"/>
  <c r="R62" i="23" s="1"/>
  <c r="E46" i="23"/>
  <c r="R46" i="23" s="1"/>
  <c r="E30" i="23"/>
  <c r="R30" i="23" s="1"/>
  <c r="E14" i="23"/>
  <c r="R14" i="23" s="1"/>
  <c r="M103" i="24"/>
  <c r="N103" i="24" s="1"/>
  <c r="K98" i="24"/>
  <c r="M87" i="24"/>
  <c r="N87" i="24" s="1"/>
  <c r="K82" i="24"/>
  <c r="M96" i="24"/>
  <c r="N96" i="24" s="1"/>
  <c r="K91" i="24"/>
  <c r="K81" i="24"/>
  <c r="K101" i="24"/>
  <c r="K93" i="24"/>
  <c r="K85" i="24"/>
  <c r="M94" i="24"/>
  <c r="N94" i="24" s="1"/>
  <c r="M85" i="24"/>
  <c r="N85" i="24" s="1"/>
  <c r="K75" i="24"/>
  <c r="K70" i="24"/>
  <c r="M80" i="24"/>
  <c r="N80" i="24" s="1"/>
  <c r="K67" i="24"/>
  <c r="M89" i="24"/>
  <c r="N89" i="24" s="1"/>
  <c r="K69" i="24"/>
  <c r="K61" i="24"/>
  <c r="M55" i="24"/>
  <c r="N55" i="24" s="1"/>
  <c r="K50" i="24"/>
  <c r="M5" i="24"/>
  <c r="N5" i="24" s="1"/>
  <c r="Q5" i="24" s="1"/>
  <c r="M30" i="24"/>
  <c r="N30" i="24" s="1"/>
  <c r="K49" i="24"/>
  <c r="E106" i="23"/>
  <c r="R106" i="23" s="1"/>
  <c r="E90" i="23"/>
  <c r="R90" i="23" s="1"/>
  <c r="E74" i="23"/>
  <c r="R74" i="23" s="1"/>
  <c r="E58" i="23"/>
  <c r="R58" i="23" s="1"/>
  <c r="E42" i="23"/>
  <c r="R42" i="23" s="1"/>
  <c r="E26" i="23"/>
  <c r="R26" i="23" s="1"/>
  <c r="E9" i="23"/>
  <c r="R9" i="23" s="1"/>
  <c r="K102" i="24"/>
  <c r="M91" i="24"/>
  <c r="N91" i="24" s="1"/>
  <c r="K86" i="24"/>
  <c r="M100" i="24"/>
  <c r="N100" i="24" s="1"/>
  <c r="K95" i="24"/>
  <c r="M84" i="24"/>
  <c r="N84" i="24" s="1"/>
  <c r="M74" i="24"/>
  <c r="N74" i="24" s="1"/>
  <c r="K100" i="24"/>
  <c r="K92" i="24"/>
  <c r="K84" i="24"/>
  <c r="M75" i="24"/>
  <c r="N75" i="24" s="1"/>
  <c r="M102" i="24"/>
  <c r="N102" i="24" s="1"/>
  <c r="M93" i="24"/>
  <c r="N93" i="24" s="1"/>
  <c r="K80" i="24"/>
  <c r="M73" i="24"/>
  <c r="N73" i="24" s="1"/>
  <c r="M63" i="24"/>
  <c r="N63" i="24" s="1"/>
  <c r="M77" i="24"/>
  <c r="N77" i="24" s="1"/>
  <c r="K71" i="24"/>
  <c r="M105" i="24"/>
  <c r="N105" i="24" s="1"/>
  <c r="K68" i="24"/>
  <c r="M59" i="24"/>
  <c r="N59" i="24" s="1"/>
  <c r="K54" i="24"/>
  <c r="M50" i="24"/>
  <c r="N50" i="24" s="1"/>
  <c r="E102" i="23"/>
  <c r="R102" i="23" s="1"/>
  <c r="E70" i="23"/>
  <c r="R70" i="23" s="1"/>
  <c r="E38" i="23"/>
  <c r="R38" i="23" s="1"/>
  <c r="K8" i="24"/>
  <c r="M95" i="24"/>
  <c r="N95" i="24" s="1"/>
  <c r="K99" i="24"/>
  <c r="M88" i="24"/>
  <c r="N88" i="24" s="1"/>
  <c r="M78" i="24"/>
  <c r="N78" i="24" s="1"/>
  <c r="K97" i="24"/>
  <c r="M79" i="24"/>
  <c r="N79" i="24" s="1"/>
  <c r="M101" i="24"/>
  <c r="N101" i="24" s="1"/>
  <c r="K79" i="24"/>
  <c r="M67" i="24"/>
  <c r="N67" i="24" s="1"/>
  <c r="K58" i="24"/>
  <c r="M47" i="24"/>
  <c r="N47" i="24" s="1"/>
  <c r="M35" i="24"/>
  <c r="N35" i="24" s="1"/>
  <c r="K30" i="24"/>
  <c r="K72" i="24"/>
  <c r="M57" i="24"/>
  <c r="N57" i="24" s="1"/>
  <c r="K52" i="24"/>
  <c r="M41" i="24"/>
  <c r="N41" i="24" s="1"/>
  <c r="K36" i="24"/>
  <c r="M25" i="24"/>
  <c r="N25" i="24" s="1"/>
  <c r="K21" i="24"/>
  <c r="M10" i="24"/>
  <c r="N10" i="24" s="1"/>
  <c r="K23" i="24"/>
  <c r="M12" i="24"/>
  <c r="N12" i="24" s="1"/>
  <c r="K7" i="24"/>
  <c r="E101" i="23"/>
  <c r="R101" i="23" s="1"/>
  <c r="E85" i="23"/>
  <c r="R85" i="23" s="1"/>
  <c r="E69" i="23"/>
  <c r="R69" i="23" s="1"/>
  <c r="E53" i="23"/>
  <c r="R53" i="23" s="1"/>
  <c r="E37" i="23"/>
  <c r="R37" i="23" s="1"/>
  <c r="E21" i="23"/>
  <c r="R21" i="23" s="1"/>
  <c r="K5" i="24"/>
  <c r="M28" i="24"/>
  <c r="N28" i="24" s="1"/>
  <c r="M36" i="24"/>
  <c r="N36" i="24" s="1"/>
  <c r="M44" i="24"/>
  <c r="N44" i="24" s="1"/>
  <c r="M52" i="24"/>
  <c r="N52" i="24" s="1"/>
  <c r="M60" i="24"/>
  <c r="N60" i="24" s="1"/>
  <c r="K18" i="24"/>
  <c r="E86" i="23"/>
  <c r="R86" i="23" s="1"/>
  <c r="E22" i="23"/>
  <c r="R22" i="23" s="1"/>
  <c r="M104" i="24"/>
  <c r="N104" i="24" s="1"/>
  <c r="K83" i="24"/>
  <c r="K105" i="24"/>
  <c r="K74" i="24"/>
  <c r="M72" i="24"/>
  <c r="N72" i="24" s="1"/>
  <c r="M64" i="24"/>
  <c r="N64" i="24" s="1"/>
  <c r="K65" i="24"/>
  <c r="M43" i="24"/>
  <c r="N43" i="24" s="1"/>
  <c r="K60" i="24"/>
  <c r="M49" i="24"/>
  <c r="N49" i="24" s="1"/>
  <c r="K28" i="24"/>
  <c r="M62" i="24"/>
  <c r="N62" i="24" s="1"/>
  <c r="K13" i="24"/>
  <c r="M20" i="24"/>
  <c r="N20" i="24" s="1"/>
  <c r="E93" i="23"/>
  <c r="R93" i="23" s="1"/>
  <c r="E77" i="23"/>
  <c r="R77" i="23" s="1"/>
  <c r="E45" i="23"/>
  <c r="R45" i="23" s="1"/>
  <c r="E13" i="23"/>
  <c r="R13" i="23" s="1"/>
  <c r="M24" i="24"/>
  <c r="N24" i="24" s="1"/>
  <c r="M40" i="24"/>
  <c r="N40" i="24" s="1"/>
  <c r="M56" i="24"/>
  <c r="N56" i="24" s="1"/>
  <c r="K14" i="24"/>
  <c r="E82" i="23"/>
  <c r="R82" i="23" s="1"/>
  <c r="E50" i="23"/>
  <c r="R50" i="23" s="1"/>
  <c r="M92" i="24"/>
  <c r="N92" i="24" s="1"/>
  <c r="K104" i="24"/>
  <c r="M86" i="24"/>
  <c r="N86" i="24" s="1"/>
  <c r="K64" i="24"/>
  <c r="K42" i="24"/>
  <c r="K26" i="24"/>
  <c r="M53" i="24"/>
  <c r="N53" i="24" s="1"/>
  <c r="M37" i="24"/>
  <c r="N37" i="24" s="1"/>
  <c r="K17" i="24"/>
  <c r="M66" i="24"/>
  <c r="N66" i="24" s="1"/>
  <c r="M8" i="24"/>
  <c r="N8" i="24" s="1"/>
  <c r="E89" i="23"/>
  <c r="R89" i="23" s="1"/>
  <c r="E57" i="23"/>
  <c r="R57" i="23" s="1"/>
  <c r="E25" i="23"/>
  <c r="R25" i="23" s="1"/>
  <c r="M9" i="24"/>
  <c r="N9" i="24" s="1"/>
  <c r="M17" i="24"/>
  <c r="N17" i="24" s="1"/>
  <c r="K27" i="24"/>
  <c r="K43" i="24"/>
  <c r="M69" i="24"/>
  <c r="N69" i="24" s="1"/>
  <c r="M46" i="24"/>
  <c r="N46" i="24" s="1"/>
  <c r="E98" i="23"/>
  <c r="R98" i="23" s="1"/>
  <c r="E66" i="23"/>
  <c r="R66" i="23" s="1"/>
  <c r="E34" i="23"/>
  <c r="R34" i="23" s="1"/>
  <c r="K94" i="24"/>
  <c r="M83" i="24"/>
  <c r="N83" i="24" s="1"/>
  <c r="K87" i="24"/>
  <c r="K77" i="24"/>
  <c r="K96" i="24"/>
  <c r="K78" i="24"/>
  <c r="K76" i="24"/>
  <c r="K66" i="24"/>
  <c r="M81" i="24"/>
  <c r="N81" i="24" s="1"/>
  <c r="M68" i="24"/>
  <c r="N68" i="24" s="1"/>
  <c r="M98" i="24"/>
  <c r="N98" i="24" s="1"/>
  <c r="K73" i="24"/>
  <c r="K46" i="24"/>
  <c r="M39" i="24"/>
  <c r="N39" i="24" s="1"/>
  <c r="K34" i="24"/>
  <c r="M97" i="24"/>
  <c r="N97" i="24" s="1"/>
  <c r="K56" i="24"/>
  <c r="M45" i="24"/>
  <c r="N45" i="24" s="1"/>
  <c r="K40" i="24"/>
  <c r="M29" i="24"/>
  <c r="N29" i="24" s="1"/>
  <c r="K24" i="24"/>
  <c r="M70" i="24"/>
  <c r="N70" i="24" s="1"/>
  <c r="M14" i="24"/>
  <c r="N14" i="24" s="1"/>
  <c r="K9" i="24"/>
  <c r="M16" i="24"/>
  <c r="N16" i="24" s="1"/>
  <c r="K11" i="24"/>
  <c r="E97" i="23"/>
  <c r="R97" i="23" s="1"/>
  <c r="E81" i="23"/>
  <c r="R81" i="23" s="1"/>
  <c r="E65" i="23"/>
  <c r="R65" i="23" s="1"/>
  <c r="E49" i="23"/>
  <c r="R49" i="23" s="1"/>
  <c r="E33" i="23"/>
  <c r="R33" i="23" s="1"/>
  <c r="E17" i="23"/>
  <c r="R17" i="23" s="1"/>
  <c r="K6" i="24"/>
  <c r="M11" i="24"/>
  <c r="N11" i="24" s="1"/>
  <c r="M15" i="24"/>
  <c r="N15" i="24" s="1"/>
  <c r="M19" i="24"/>
  <c r="N19" i="24" s="1"/>
  <c r="M23" i="24"/>
  <c r="N23" i="24" s="1"/>
  <c r="K31" i="24"/>
  <c r="K39" i="24"/>
  <c r="K47" i="24"/>
  <c r="K55" i="24"/>
  <c r="M61" i="24"/>
  <c r="N61" i="24" s="1"/>
  <c r="K37" i="24"/>
  <c r="E54" i="23"/>
  <c r="R54" i="23" s="1"/>
  <c r="K90" i="24"/>
  <c r="K89" i="24"/>
  <c r="K62" i="24"/>
  <c r="M76" i="24"/>
  <c r="N76" i="24" s="1"/>
  <c r="M82" i="24"/>
  <c r="N82" i="24" s="1"/>
  <c r="K38" i="24"/>
  <c r="M27" i="24"/>
  <c r="N27" i="24" s="1"/>
  <c r="K44" i="24"/>
  <c r="M33" i="24"/>
  <c r="N33" i="24" s="1"/>
  <c r="M18" i="24"/>
  <c r="N18" i="24" s="1"/>
  <c r="K15" i="24"/>
  <c r="E10" i="23"/>
  <c r="R10" i="23" s="1"/>
  <c r="E61" i="23"/>
  <c r="R61" i="23" s="1"/>
  <c r="E29" i="23"/>
  <c r="R29" i="23" s="1"/>
  <c r="M32" i="24"/>
  <c r="N32" i="24" s="1"/>
  <c r="M48" i="24"/>
  <c r="N48" i="24" s="1"/>
  <c r="M65" i="24"/>
  <c r="N65" i="24" s="1"/>
  <c r="K33" i="24"/>
  <c r="E18" i="23"/>
  <c r="R18" i="23" s="1"/>
  <c r="M99" i="24"/>
  <c r="N99" i="24" s="1"/>
  <c r="K103" i="24"/>
  <c r="K88" i="24"/>
  <c r="M71" i="24"/>
  <c r="N71" i="24" s="1"/>
  <c r="K63" i="24"/>
  <c r="M51" i="24"/>
  <c r="N51" i="24" s="1"/>
  <c r="M31" i="24"/>
  <c r="N31" i="24" s="1"/>
  <c r="M90" i="24"/>
  <c r="N90" i="24" s="1"/>
  <c r="K48" i="24"/>
  <c r="K32" i="24"/>
  <c r="M22" i="24"/>
  <c r="N22" i="24" s="1"/>
  <c r="K19" i="24"/>
  <c r="E105" i="23"/>
  <c r="R105" i="23" s="1"/>
  <c r="E73" i="23"/>
  <c r="R73" i="23" s="1"/>
  <c r="E41" i="23"/>
  <c r="R41" i="23" s="1"/>
  <c r="E8" i="23"/>
  <c r="R8" i="23" s="1"/>
  <c r="M13" i="24"/>
  <c r="N13" i="24" s="1"/>
  <c r="M21" i="24"/>
  <c r="N21" i="24" s="1"/>
  <c r="K35" i="24"/>
  <c r="K51" i="24"/>
  <c r="K59" i="24"/>
  <c r="D9" i="23"/>
  <c r="F9" i="23" s="1"/>
  <c r="D13" i="23"/>
  <c r="I13" i="23" s="1"/>
  <c r="D17" i="23"/>
  <c r="I17" i="23" s="1"/>
  <c r="D21" i="23"/>
  <c r="D25" i="23"/>
  <c r="I25" i="23" s="1"/>
  <c r="D29" i="23"/>
  <c r="D33" i="23"/>
  <c r="F33" i="23" s="1"/>
  <c r="D37" i="23"/>
  <c r="D41" i="23"/>
  <c r="F41" i="23" s="1"/>
  <c r="D45" i="23"/>
  <c r="D49" i="23"/>
  <c r="I49" i="23" s="1"/>
  <c r="D10" i="23"/>
  <c r="I10" i="23" s="1"/>
  <c r="D14" i="23"/>
  <c r="I14" i="23" s="1"/>
  <c r="D18" i="23"/>
  <c r="D22" i="23"/>
  <c r="I22" i="23" s="1"/>
  <c r="D26" i="23"/>
  <c r="D30" i="23"/>
  <c r="I30" i="23" s="1"/>
  <c r="D34" i="23"/>
  <c r="D38" i="23"/>
  <c r="F38" i="23" s="1"/>
  <c r="D42" i="23"/>
  <c r="D46" i="23"/>
  <c r="I46" i="23" s="1"/>
  <c r="D50" i="23"/>
  <c r="D54" i="23"/>
  <c r="I54" i="23" s="1"/>
  <c r="D58" i="23"/>
  <c r="D62" i="23"/>
  <c r="F62" i="23" s="1"/>
  <c r="D66" i="23"/>
  <c r="D70" i="23"/>
  <c r="F70" i="23" s="1"/>
  <c r="D74" i="23"/>
  <c r="D78" i="23"/>
  <c r="F78" i="23" s="1"/>
  <c r="D82" i="23"/>
  <c r="D86" i="23"/>
  <c r="F86" i="23" s="1"/>
  <c r="D90" i="23"/>
  <c r="D94" i="23"/>
  <c r="I94" i="23" s="1"/>
  <c r="D98" i="23"/>
  <c r="F98" i="23" s="1"/>
  <c r="D102" i="23"/>
  <c r="I102" i="23" s="1"/>
  <c r="D106" i="23"/>
  <c r="F106" i="23" s="1"/>
  <c r="D16" i="23"/>
  <c r="F16" i="23" s="1"/>
  <c r="D24" i="23"/>
  <c r="D32" i="23"/>
  <c r="I32" i="23" s="1"/>
  <c r="D40" i="23"/>
  <c r="D48" i="23"/>
  <c r="F48" i="23" s="1"/>
  <c r="D55" i="23"/>
  <c r="D60" i="23"/>
  <c r="I60" i="23" s="1"/>
  <c r="D65" i="23"/>
  <c r="I65" i="23" s="1"/>
  <c r="D71" i="23"/>
  <c r="I71" i="23" s="1"/>
  <c r="D76" i="23"/>
  <c r="F76" i="23" s="1"/>
  <c r="D81" i="23"/>
  <c r="I81" i="23" s="1"/>
  <c r="D87" i="23"/>
  <c r="D92" i="23"/>
  <c r="I92" i="23" s="1"/>
  <c r="D97" i="23"/>
  <c r="D103" i="23"/>
  <c r="I103" i="23" s="1"/>
  <c r="D7" i="23"/>
  <c r="F7" i="23" s="1"/>
  <c r="D23" i="23"/>
  <c r="F23" i="23" s="1"/>
  <c r="D39" i="23"/>
  <c r="F39" i="23" s="1"/>
  <c r="D53" i="23"/>
  <c r="I53" i="23" s="1"/>
  <c r="D64" i="23"/>
  <c r="D75" i="23"/>
  <c r="F75" i="23" s="1"/>
  <c r="D85" i="23"/>
  <c r="D96" i="23"/>
  <c r="F96" i="23" s="1"/>
  <c r="D8" i="23"/>
  <c r="D11" i="23"/>
  <c r="F11" i="23" s="1"/>
  <c r="D19" i="23"/>
  <c r="D27" i="23"/>
  <c r="F27" i="23" s="1"/>
  <c r="D35" i="23"/>
  <c r="D43" i="23"/>
  <c r="F43" i="23" s="1"/>
  <c r="D51" i="23"/>
  <c r="D56" i="23"/>
  <c r="F56" i="23" s="1"/>
  <c r="D61" i="23"/>
  <c r="I61" i="23" s="1"/>
  <c r="D67" i="23"/>
  <c r="I67" i="23" s="1"/>
  <c r="D72" i="23"/>
  <c r="D77" i="23"/>
  <c r="I77" i="23" s="1"/>
  <c r="D83" i="23"/>
  <c r="D88" i="23"/>
  <c r="I88" i="23" s="1"/>
  <c r="D93" i="23"/>
  <c r="D99" i="23"/>
  <c r="F99" i="23" s="1"/>
  <c r="D104" i="23"/>
  <c r="D6" i="23"/>
  <c r="I6" i="23" s="1"/>
  <c r="D12" i="23"/>
  <c r="I12" i="23" s="1"/>
  <c r="D20" i="23"/>
  <c r="I20" i="23" s="1"/>
  <c r="D28" i="23"/>
  <c r="D36" i="23"/>
  <c r="F36" i="23" s="1"/>
  <c r="D44" i="23"/>
  <c r="F44" i="23" s="1"/>
  <c r="D52" i="23"/>
  <c r="I52" i="23" s="1"/>
  <c r="D57" i="23"/>
  <c r="D63" i="23"/>
  <c r="I63" i="23" s="1"/>
  <c r="D68" i="23"/>
  <c r="D73" i="23"/>
  <c r="I73" i="23" s="1"/>
  <c r="D79" i="23"/>
  <c r="F79" i="23" s="1"/>
  <c r="D84" i="23"/>
  <c r="I84" i="23" s="1"/>
  <c r="D89" i="23"/>
  <c r="F89" i="23" s="1"/>
  <c r="D95" i="23"/>
  <c r="I95" i="23" s="1"/>
  <c r="D100" i="23"/>
  <c r="D105" i="23"/>
  <c r="I105" i="23" s="1"/>
  <c r="D15" i="23"/>
  <c r="D31" i="23"/>
  <c r="F31" i="23" s="1"/>
  <c r="D47" i="23"/>
  <c r="D59" i="23"/>
  <c r="F59" i="23" s="1"/>
  <c r="D69" i="23"/>
  <c r="F69" i="23" s="1"/>
  <c r="D80" i="23"/>
  <c r="I80" i="23" s="1"/>
  <c r="D91" i="23"/>
  <c r="D101" i="23"/>
  <c r="I101" i="23" s="1"/>
  <c r="B10" i="19"/>
  <c r="D10" i="19" s="1"/>
  <c r="I16" i="8"/>
  <c r="J16" i="8" s="1"/>
  <c r="D149" i="2" s="1"/>
  <c r="B150" i="2" s="1"/>
  <c r="B187" i="2"/>
  <c r="B190" i="2" s="1"/>
  <c r="B11" i="19"/>
  <c r="D11" i="19" s="1"/>
  <c r="I4" i="8" s="1"/>
  <c r="J4" i="8" s="1"/>
  <c r="B205" i="2"/>
  <c r="B3" i="8"/>
  <c r="B159" i="8" s="1"/>
  <c r="B158" i="8" s="1"/>
  <c r="B157" i="8" s="1"/>
  <c r="B156" i="8" s="1"/>
  <c r="B155" i="8" s="1"/>
  <c r="B154" i="8" s="1"/>
  <c r="B153" i="8" s="1"/>
  <c r="B152" i="8" s="1"/>
  <c r="B151" i="8" s="1"/>
  <c r="B150" i="8" s="1"/>
  <c r="B149" i="8" s="1"/>
  <c r="B148" i="8" s="1"/>
  <c r="B147" i="8" s="1"/>
  <c r="B146" i="8" s="1"/>
  <c r="B145" i="8" s="1"/>
  <c r="B144" i="8" s="1"/>
  <c r="B143" i="8" s="1"/>
  <c r="B142" i="8" s="1"/>
  <c r="B141" i="8" s="1"/>
  <c r="B140" i="8" s="1"/>
  <c r="B139" i="8" s="1"/>
  <c r="B138" i="8" s="1"/>
  <c r="B137" i="8" s="1"/>
  <c r="B136" i="8" s="1"/>
  <c r="B135" i="8" s="1"/>
  <c r="B134" i="8" s="1"/>
  <c r="B133" i="8" s="1"/>
  <c r="B132" i="8" s="1"/>
  <c r="B131" i="8" s="1"/>
  <c r="B130" i="8" s="1"/>
  <c r="B129" i="8" s="1"/>
  <c r="B128" i="8" s="1"/>
  <c r="B127" i="8" s="1"/>
  <c r="B126" i="8" s="1"/>
  <c r="B125" i="8" s="1"/>
  <c r="B124" i="8" s="1"/>
  <c r="B123" i="8" s="1"/>
  <c r="B122" i="8" s="1"/>
  <c r="B121" i="8" s="1"/>
  <c r="B120" i="8" s="1"/>
  <c r="B119" i="8" s="1"/>
  <c r="B118" i="8" s="1"/>
  <c r="B117" i="8" s="1"/>
  <c r="B116" i="8" s="1"/>
  <c r="B115" i="8" s="1"/>
  <c r="B114" i="8" s="1"/>
  <c r="B113" i="8" s="1"/>
  <c r="B112" i="8" s="1"/>
  <c r="B111" i="8" s="1"/>
  <c r="B110" i="8" s="1"/>
  <c r="B109" i="8" s="1"/>
  <c r="B108" i="8" s="1"/>
  <c r="B107" i="8" s="1"/>
  <c r="B106" i="8" s="1"/>
  <c r="B105" i="8" s="1"/>
  <c r="B104" i="8" s="1"/>
  <c r="B103" i="8" s="1"/>
  <c r="B102" i="8" s="1"/>
  <c r="B101" i="8" s="1"/>
  <c r="B100" i="8" s="1"/>
  <c r="B99" i="8" s="1"/>
  <c r="B98" i="8" s="1"/>
  <c r="B97" i="8" s="1"/>
  <c r="B96" i="8" s="1"/>
  <c r="B95" i="8" s="1"/>
  <c r="B94" i="8" s="1"/>
  <c r="B93" i="8" s="1"/>
  <c r="B92" i="8" s="1"/>
  <c r="B91" i="8" s="1"/>
  <c r="B90" i="8" s="1"/>
  <c r="B89" i="8" s="1"/>
  <c r="B88" i="8" s="1"/>
  <c r="B87" i="8" s="1"/>
  <c r="B86" i="8" s="1"/>
  <c r="B85" i="8" s="1"/>
  <c r="B84" i="8" s="1"/>
  <c r="B83" i="8" s="1"/>
  <c r="B82" i="8" s="1"/>
  <c r="B81" i="8" s="1"/>
  <c r="B80" i="8" s="1"/>
  <c r="B79" i="8" s="1"/>
  <c r="B78" i="8" s="1"/>
  <c r="B77" i="8" s="1"/>
  <c r="B76" i="8" s="1"/>
  <c r="B75" i="8" s="1"/>
  <c r="B74" i="8" s="1"/>
  <c r="B73" i="8" s="1"/>
  <c r="B72" i="8" s="1"/>
  <c r="B71" i="8" s="1"/>
  <c r="B70" i="8" s="1"/>
  <c r="B69" i="8" s="1"/>
  <c r="B68" i="8" s="1"/>
  <c r="B67" i="8" s="1"/>
  <c r="B66" i="8" s="1"/>
  <c r="B65" i="8" s="1"/>
  <c r="B64" i="8" s="1"/>
  <c r="B63" i="8" s="1"/>
  <c r="B62" i="8" s="1"/>
  <c r="B61" i="8" s="1"/>
  <c r="B60" i="8" s="1"/>
  <c r="B59" i="8" s="1"/>
  <c r="B58" i="8" s="1"/>
  <c r="B57" i="8" s="1"/>
  <c r="B56" i="8" s="1"/>
  <c r="B55" i="8" s="1"/>
  <c r="B54" i="8" s="1"/>
  <c r="B53" i="8" s="1"/>
  <c r="B52" i="8" s="1"/>
  <c r="B51" i="8" s="1"/>
  <c r="B50" i="8" s="1"/>
  <c r="B49" i="8" s="1"/>
  <c r="B48" i="8" s="1"/>
  <c r="B47" i="8" s="1"/>
  <c r="B46" i="8" s="1"/>
  <c r="B45" i="8" s="1"/>
  <c r="B44" i="8" s="1"/>
  <c r="B43" i="8" s="1"/>
  <c r="B42" i="8" s="1"/>
  <c r="B41" i="8" s="1"/>
  <c r="B40" i="8" s="1"/>
  <c r="B39" i="8" s="1"/>
  <c r="B38" i="8" s="1"/>
  <c r="B37" i="8" s="1"/>
  <c r="B36" i="8" s="1"/>
  <c r="B35" i="8" s="1"/>
  <c r="B34" i="8" s="1"/>
  <c r="B33" i="8" s="1"/>
  <c r="B32" i="8" s="1"/>
  <c r="B31" i="8" s="1"/>
  <c r="B30" i="8" s="1"/>
  <c r="B29" i="8" s="1"/>
  <c r="B28" i="8" s="1"/>
  <c r="B27" i="8" s="1"/>
  <c r="B26" i="8" s="1"/>
  <c r="B25" i="8" s="1"/>
  <c r="B24" i="8" s="1"/>
  <c r="B23" i="8" s="1"/>
  <c r="B22" i="8" s="1"/>
  <c r="B21" i="8" s="1"/>
  <c r="B20" i="8" s="1"/>
  <c r="B19" i="8" s="1"/>
  <c r="B18" i="8" s="1"/>
  <c r="B17" i="8" s="1"/>
  <c r="B16" i="8" s="1"/>
  <c r="B15" i="8" s="1"/>
  <c r="B14" i="8" s="1"/>
  <c r="B13" i="8" s="1"/>
  <c r="B12" i="8" s="1"/>
  <c r="B11" i="8" s="1"/>
  <c r="B10" i="8" s="1"/>
  <c r="B9" i="8" s="1"/>
  <c r="B8" i="8" s="1"/>
  <c r="B7" i="8" s="1"/>
  <c r="B6" i="8" s="1"/>
  <c r="B4" i="8" s="1"/>
  <c r="D31" i="16"/>
  <c r="D3" i="8"/>
  <c r="D159" i="8" s="1"/>
  <c r="D158" i="8" s="1"/>
  <c r="D157" i="8" s="1"/>
  <c r="D156" i="8" s="1"/>
  <c r="D155" i="8" s="1"/>
  <c r="D154" i="8" s="1"/>
  <c r="D153" i="8" s="1"/>
  <c r="D152" i="8" s="1"/>
  <c r="D151" i="8" s="1"/>
  <c r="D150" i="8" s="1"/>
  <c r="D149" i="8" s="1"/>
  <c r="D148" i="8" s="1"/>
  <c r="D147" i="8" s="1"/>
  <c r="D146" i="8" s="1"/>
  <c r="D145" i="8" s="1"/>
  <c r="D144" i="8" s="1"/>
  <c r="D143" i="8" s="1"/>
  <c r="D142" i="8" s="1"/>
  <c r="D141" i="8" s="1"/>
  <c r="D140" i="8" s="1"/>
  <c r="D139" i="8" s="1"/>
  <c r="D138" i="8" s="1"/>
  <c r="D137" i="8" s="1"/>
  <c r="D136" i="8" s="1"/>
  <c r="D135" i="8" s="1"/>
  <c r="D134" i="8" s="1"/>
  <c r="D133" i="8" s="1"/>
  <c r="D132" i="8" s="1"/>
  <c r="D131" i="8" s="1"/>
  <c r="D130" i="8" s="1"/>
  <c r="D129" i="8" s="1"/>
  <c r="D128" i="8" s="1"/>
  <c r="D127" i="8" s="1"/>
  <c r="D126" i="8" s="1"/>
  <c r="D125" i="8" s="1"/>
  <c r="D124" i="8" s="1"/>
  <c r="D123" i="8" s="1"/>
  <c r="D122" i="8" s="1"/>
  <c r="D121" i="8" s="1"/>
  <c r="D120" i="8" s="1"/>
  <c r="D119" i="8" s="1"/>
  <c r="D118" i="8" s="1"/>
  <c r="D117" i="8" s="1"/>
  <c r="D116" i="8" s="1"/>
  <c r="D115" i="8" s="1"/>
  <c r="D114" i="8" s="1"/>
  <c r="D113" i="8" s="1"/>
  <c r="D112" i="8" s="1"/>
  <c r="D111" i="8" s="1"/>
  <c r="D110" i="8" s="1"/>
  <c r="D109" i="8" s="1"/>
  <c r="D108" i="8" s="1"/>
  <c r="D107" i="8" s="1"/>
  <c r="D106" i="8" s="1"/>
  <c r="D105" i="8" s="1"/>
  <c r="D104" i="8" s="1"/>
  <c r="D103" i="8" s="1"/>
  <c r="D102" i="8" s="1"/>
  <c r="D101" i="8" s="1"/>
  <c r="D100" i="8" s="1"/>
  <c r="D99" i="8" s="1"/>
  <c r="D98" i="8" s="1"/>
  <c r="D97" i="8" s="1"/>
  <c r="D96" i="8" s="1"/>
  <c r="D95" i="8" s="1"/>
  <c r="D94" i="8" s="1"/>
  <c r="D93" i="8" s="1"/>
  <c r="D92" i="8" s="1"/>
  <c r="D91" i="8" s="1"/>
  <c r="D90" i="8" s="1"/>
  <c r="D89" i="8" s="1"/>
  <c r="D88" i="8" s="1"/>
  <c r="D87" i="8" s="1"/>
  <c r="D86" i="8" s="1"/>
  <c r="D85" i="8" s="1"/>
  <c r="D84" i="8" s="1"/>
  <c r="D83" i="8" s="1"/>
  <c r="D82" i="8" s="1"/>
  <c r="D81" i="8" s="1"/>
  <c r="D80" i="8" s="1"/>
  <c r="D79" i="8" s="1"/>
  <c r="D78" i="8" s="1"/>
  <c r="D77" i="8" s="1"/>
  <c r="D76" i="8" s="1"/>
  <c r="D75" i="8" s="1"/>
  <c r="D74" i="8" s="1"/>
  <c r="D73" i="8" s="1"/>
  <c r="D72" i="8" s="1"/>
  <c r="D71" i="8" s="1"/>
  <c r="D70" i="8" s="1"/>
  <c r="D69" i="8" s="1"/>
  <c r="D68" i="8" s="1"/>
  <c r="D67" i="8" s="1"/>
  <c r="D66" i="8" s="1"/>
  <c r="D65" i="8" s="1"/>
  <c r="D64" i="8" s="1"/>
  <c r="D63" i="8" s="1"/>
  <c r="D62" i="8" s="1"/>
  <c r="D61" i="8" s="1"/>
  <c r="D60" i="8" s="1"/>
  <c r="D59" i="8" s="1"/>
  <c r="D58" i="8" s="1"/>
  <c r="D57" i="8" s="1"/>
  <c r="D56" i="8" s="1"/>
  <c r="D55" i="8" s="1"/>
  <c r="D54" i="8" s="1"/>
  <c r="D53" i="8" s="1"/>
  <c r="D52" i="8" s="1"/>
  <c r="D51" i="8" s="1"/>
  <c r="D50" i="8" s="1"/>
  <c r="D49" i="8" s="1"/>
  <c r="D48" i="8" s="1"/>
  <c r="D47" i="8" s="1"/>
  <c r="D46" i="8" s="1"/>
  <c r="D45" i="8" s="1"/>
  <c r="D44" i="8" s="1"/>
  <c r="D43" i="8" s="1"/>
  <c r="D42" i="8" s="1"/>
  <c r="D41" i="8" s="1"/>
  <c r="D40" i="8" s="1"/>
  <c r="D39" i="8" s="1"/>
  <c r="D38" i="8" s="1"/>
  <c r="D37" i="8" s="1"/>
  <c r="D36" i="8" s="1"/>
  <c r="D35" i="8" s="1"/>
  <c r="D34" i="8" s="1"/>
  <c r="D33" i="8" s="1"/>
  <c r="D32" i="8" s="1"/>
  <c r="D31" i="8" s="1"/>
  <c r="D30" i="8" s="1"/>
  <c r="D29" i="8" s="1"/>
  <c r="D28" i="8" s="1"/>
  <c r="D27" i="8" s="1"/>
  <c r="D26" i="8" s="1"/>
  <c r="D25" i="8" s="1"/>
  <c r="D24" i="8" s="1"/>
  <c r="D23" i="8" s="1"/>
  <c r="D22" i="8" s="1"/>
  <c r="D21" i="8" s="1"/>
  <c r="D20" i="8" s="1"/>
  <c r="D19" i="8" s="1"/>
  <c r="D18" i="8" s="1"/>
  <c r="D17" i="8" s="1"/>
  <c r="D16" i="8" s="1"/>
  <c r="D15" i="8" s="1"/>
  <c r="D14" i="8" s="1"/>
  <c r="D13" i="8" s="1"/>
  <c r="D12" i="8" s="1"/>
  <c r="D11" i="8" s="1"/>
  <c r="D10" i="8" s="1"/>
  <c r="D9" i="8" s="1"/>
  <c r="D8" i="8" s="1"/>
  <c r="D7" i="8" s="1"/>
  <c r="D6" i="8" s="1"/>
  <c r="D4" i="8" s="1"/>
  <c r="E159" i="8"/>
  <c r="E158" i="8" s="1"/>
  <c r="E157" i="8" s="1"/>
  <c r="E156" i="8" s="1"/>
  <c r="E155" i="8" s="1"/>
  <c r="E154" i="8" s="1"/>
  <c r="E153" i="8" s="1"/>
  <c r="E152" i="8" s="1"/>
  <c r="E151" i="8" s="1"/>
  <c r="E150" i="8" s="1"/>
  <c r="E149" i="8" s="1"/>
  <c r="E148" i="8" s="1"/>
  <c r="E147" i="8" s="1"/>
  <c r="E146" i="8" s="1"/>
  <c r="E145" i="8" s="1"/>
  <c r="E144" i="8" s="1"/>
  <c r="E143" i="8" s="1"/>
  <c r="E142" i="8" s="1"/>
  <c r="E141" i="8" s="1"/>
  <c r="E140" i="8" s="1"/>
  <c r="E139" i="8" s="1"/>
  <c r="E138" i="8" s="1"/>
  <c r="E137" i="8" s="1"/>
  <c r="E136" i="8" s="1"/>
  <c r="E135" i="8" s="1"/>
  <c r="E134" i="8" s="1"/>
  <c r="E133" i="8" s="1"/>
  <c r="E132" i="8" s="1"/>
  <c r="E131" i="8" s="1"/>
  <c r="E130" i="8" s="1"/>
  <c r="E129" i="8" s="1"/>
  <c r="E128" i="8" s="1"/>
  <c r="E127" i="8" s="1"/>
  <c r="E126" i="8" s="1"/>
  <c r="E125" i="8" s="1"/>
  <c r="E124" i="8" s="1"/>
  <c r="E123" i="8" s="1"/>
  <c r="E122" i="8" s="1"/>
  <c r="E121" i="8" s="1"/>
  <c r="E120" i="8" s="1"/>
  <c r="E119" i="8" s="1"/>
  <c r="E118" i="8" s="1"/>
  <c r="E117" i="8" s="1"/>
  <c r="E116" i="8" s="1"/>
  <c r="E115" i="8" s="1"/>
  <c r="E114" i="8" s="1"/>
  <c r="E113" i="8" s="1"/>
  <c r="E112" i="8" s="1"/>
  <c r="E111" i="8" s="1"/>
  <c r="E110" i="8" s="1"/>
  <c r="E109" i="8" s="1"/>
  <c r="E108" i="8" s="1"/>
  <c r="E107" i="8" s="1"/>
  <c r="E106" i="8" s="1"/>
  <c r="E105" i="8" s="1"/>
  <c r="E104" i="8" s="1"/>
  <c r="E103" i="8" s="1"/>
  <c r="E102" i="8" s="1"/>
  <c r="E101" i="8" s="1"/>
  <c r="E100" i="8" s="1"/>
  <c r="E99" i="8" s="1"/>
  <c r="E98" i="8" s="1"/>
  <c r="E97" i="8" s="1"/>
  <c r="E96" i="8" s="1"/>
  <c r="E95" i="8" s="1"/>
  <c r="E94" i="8" s="1"/>
  <c r="E93" i="8" s="1"/>
  <c r="E92" i="8" s="1"/>
  <c r="E91" i="8" s="1"/>
  <c r="E90" i="8" s="1"/>
  <c r="E89" i="8" s="1"/>
  <c r="E88" i="8" s="1"/>
  <c r="E87" i="8" s="1"/>
  <c r="E86" i="8" s="1"/>
  <c r="E85" i="8" s="1"/>
  <c r="E84" i="8" s="1"/>
  <c r="E83" i="8" s="1"/>
  <c r="E82" i="8" s="1"/>
  <c r="E81" i="8" s="1"/>
  <c r="E80" i="8" s="1"/>
  <c r="E79" i="8" s="1"/>
  <c r="E78" i="8" s="1"/>
  <c r="E77" i="8" s="1"/>
  <c r="E76" i="8" s="1"/>
  <c r="E75" i="8" s="1"/>
  <c r="E74" i="8" s="1"/>
  <c r="E73" i="8" s="1"/>
  <c r="E72" i="8" s="1"/>
  <c r="E71" i="8" s="1"/>
  <c r="E70" i="8" s="1"/>
  <c r="E69" i="8" s="1"/>
  <c r="E68" i="8" s="1"/>
  <c r="E67" i="8" s="1"/>
  <c r="E66" i="8" s="1"/>
  <c r="E65" i="8" s="1"/>
  <c r="E64" i="8" s="1"/>
  <c r="E63" i="8" s="1"/>
  <c r="E62" i="8" s="1"/>
  <c r="E61" i="8" s="1"/>
  <c r="E60" i="8" s="1"/>
  <c r="E59" i="8" s="1"/>
  <c r="E58" i="8" s="1"/>
  <c r="E57" i="8" s="1"/>
  <c r="E56" i="8" s="1"/>
  <c r="E55" i="8" s="1"/>
  <c r="E54" i="8" s="1"/>
  <c r="E53" i="8" s="1"/>
  <c r="E52" i="8" s="1"/>
  <c r="E51" i="8" s="1"/>
  <c r="E50" i="8" s="1"/>
  <c r="E49" i="8" s="1"/>
  <c r="E48" i="8" s="1"/>
  <c r="E47" i="8" s="1"/>
  <c r="E46" i="8" s="1"/>
  <c r="E45" i="8" s="1"/>
  <c r="E44" i="8" s="1"/>
  <c r="E43" i="8" s="1"/>
  <c r="E42" i="8" s="1"/>
  <c r="E41" i="8" s="1"/>
  <c r="E40" i="8" s="1"/>
  <c r="E39" i="8" s="1"/>
  <c r="E38" i="8" s="1"/>
  <c r="E37" i="8" s="1"/>
  <c r="E36" i="8" s="1"/>
  <c r="E35" i="8" s="1"/>
  <c r="E34" i="8" s="1"/>
  <c r="E33" i="8" s="1"/>
  <c r="E32" i="8" s="1"/>
  <c r="E31" i="8" s="1"/>
  <c r="E30" i="8" s="1"/>
  <c r="E29" i="8" s="1"/>
  <c r="E28" i="8" s="1"/>
  <c r="E27" i="8" s="1"/>
  <c r="E26" i="8" s="1"/>
  <c r="E25" i="8" s="1"/>
  <c r="E24" i="8" s="1"/>
  <c r="E23" i="8" s="1"/>
  <c r="E22" i="8" s="1"/>
  <c r="E21" i="8" s="1"/>
  <c r="E20" i="8" s="1"/>
  <c r="E19" i="8" s="1"/>
  <c r="E18" i="8" s="1"/>
  <c r="E17" i="8" s="1"/>
  <c r="E16" i="8" s="1"/>
  <c r="E15" i="8" s="1"/>
  <c r="E14" i="8" s="1"/>
  <c r="E13" i="8" s="1"/>
  <c r="E12" i="8" s="1"/>
  <c r="E11" i="8" s="1"/>
  <c r="E10" i="8" s="1"/>
  <c r="E9" i="8" s="1"/>
  <c r="E8" i="8" s="1"/>
  <c r="E7" i="8" s="1"/>
  <c r="E6" i="8" s="1"/>
  <c r="E4" i="8" s="1"/>
  <c r="B206" i="2"/>
  <c r="S53" i="2"/>
  <c r="D33" i="16" s="1"/>
  <c r="B200" i="2"/>
  <c r="I50" i="2"/>
  <c r="C3" i="8"/>
  <c r="C159" i="8" s="1"/>
  <c r="C158" i="8" s="1"/>
  <c r="G35" i="16"/>
  <c r="A200" i="2"/>
  <c r="F27" i="1"/>
  <c r="B9" i="19"/>
  <c r="D9" i="19" s="1"/>
  <c r="B17" i="19"/>
  <c r="D17" i="19" s="1"/>
  <c r="B189" i="2"/>
  <c r="B188" i="2"/>
  <c r="B13" i="2"/>
  <c r="L14" i="1" l="1"/>
  <c r="D61" i="2"/>
  <c r="N131" i="25"/>
  <c r="O131" i="25" s="1"/>
  <c r="Q131" i="25" s="1"/>
  <c r="BI131" i="25"/>
  <c r="L116" i="25"/>
  <c r="BI116" i="25"/>
  <c r="L164" i="25"/>
  <c r="BI164" i="25"/>
  <c r="N157" i="25"/>
  <c r="O157" i="25" s="1"/>
  <c r="R157" i="25" s="1"/>
  <c r="BI157" i="25"/>
  <c r="N189" i="25"/>
  <c r="O189" i="25" s="1"/>
  <c r="R189" i="25" s="1"/>
  <c r="BI189" i="25"/>
  <c r="N138" i="25"/>
  <c r="O138" i="25" s="1"/>
  <c r="R138" i="25" s="1"/>
  <c r="BI138" i="25"/>
  <c r="L143" i="25"/>
  <c r="BI143" i="25"/>
  <c r="N183" i="25"/>
  <c r="O183" i="25" s="1"/>
  <c r="Q183" i="25" s="1"/>
  <c r="BI183" i="25"/>
  <c r="L120" i="25"/>
  <c r="BI120" i="25"/>
  <c r="L136" i="25"/>
  <c r="BI136" i="25"/>
  <c r="N152" i="25"/>
  <c r="O152" i="25" s="1"/>
  <c r="Q152" i="25" s="1"/>
  <c r="BI152" i="25"/>
  <c r="L168" i="25"/>
  <c r="BI168" i="25"/>
  <c r="N184" i="25"/>
  <c r="O184" i="25" s="1"/>
  <c r="Q184" i="25" s="1"/>
  <c r="BI184" i="25"/>
  <c r="N200" i="25"/>
  <c r="O200" i="25" s="1"/>
  <c r="Q200" i="25" s="1"/>
  <c r="BI200" i="25"/>
  <c r="N139" i="25"/>
  <c r="O139" i="25" s="1"/>
  <c r="R139" i="25" s="1"/>
  <c r="BI139" i="25"/>
  <c r="L191" i="25"/>
  <c r="BI191" i="25"/>
  <c r="N113" i="25"/>
  <c r="O113" i="25" s="1"/>
  <c r="Q113" i="25" s="1"/>
  <c r="BI113" i="25"/>
  <c r="L129" i="25"/>
  <c r="BI129" i="25"/>
  <c r="N145" i="25"/>
  <c r="O145" i="25" s="1"/>
  <c r="R145" i="25" s="1"/>
  <c r="BI145" i="25"/>
  <c r="N177" i="25"/>
  <c r="O177" i="25" s="1"/>
  <c r="R177" i="25" s="1"/>
  <c r="BI177" i="25"/>
  <c r="L193" i="25"/>
  <c r="BI193" i="25"/>
  <c r="L209" i="25"/>
  <c r="BI209" i="25"/>
  <c r="L147" i="25"/>
  <c r="BI147" i="25"/>
  <c r="N207" i="25"/>
  <c r="O207" i="25" s="1"/>
  <c r="Q207" i="25" s="1"/>
  <c r="BI207" i="25"/>
  <c r="N126" i="25"/>
  <c r="O126" i="25" s="1"/>
  <c r="R126" i="25" s="1"/>
  <c r="BI126" i="25"/>
  <c r="N142" i="25"/>
  <c r="O142" i="25" s="1"/>
  <c r="Q142" i="25" s="1"/>
  <c r="BI142" i="25"/>
  <c r="N158" i="25"/>
  <c r="BI158" i="25"/>
  <c r="L174" i="25"/>
  <c r="BI174" i="25"/>
  <c r="N190" i="25"/>
  <c r="O190" i="25" s="1"/>
  <c r="Q190" i="25" s="1"/>
  <c r="BI190" i="25"/>
  <c r="L206" i="25"/>
  <c r="BI206" i="25"/>
  <c r="L115" i="25"/>
  <c r="BI115" i="25"/>
  <c r="N151" i="25"/>
  <c r="O151" i="25" s="1"/>
  <c r="R151" i="25" s="1"/>
  <c r="BI151" i="25"/>
  <c r="L199" i="25"/>
  <c r="BI199" i="25"/>
  <c r="N124" i="25"/>
  <c r="O124" i="25" s="1"/>
  <c r="Q124" i="25" s="1"/>
  <c r="BI124" i="25"/>
  <c r="L140" i="25"/>
  <c r="BI140" i="25"/>
  <c r="L156" i="25"/>
  <c r="BI156" i="25"/>
  <c r="N172" i="25"/>
  <c r="O172" i="25" s="1"/>
  <c r="R172" i="25" s="1"/>
  <c r="BI172" i="25"/>
  <c r="N188" i="25"/>
  <c r="O188" i="25" s="1"/>
  <c r="Q188" i="25" s="1"/>
  <c r="BI188" i="25"/>
  <c r="N204" i="25"/>
  <c r="O204" i="25" s="1"/>
  <c r="R204" i="25" s="1"/>
  <c r="BI204" i="25"/>
  <c r="L159" i="25"/>
  <c r="BI159" i="25"/>
  <c r="N195" i="25"/>
  <c r="O195" i="25" s="1"/>
  <c r="Q195" i="25" s="1"/>
  <c r="BI195" i="25"/>
  <c r="N117" i="25"/>
  <c r="O117" i="25" s="1"/>
  <c r="Q117" i="25" s="1"/>
  <c r="BI117" i="25"/>
  <c r="N133" i="25"/>
  <c r="O133" i="25" s="1"/>
  <c r="R133" i="25" s="1"/>
  <c r="BI133" i="25"/>
  <c r="L149" i="25"/>
  <c r="BI149" i="25"/>
  <c r="N165" i="25"/>
  <c r="O165" i="25" s="1"/>
  <c r="R165" i="25" s="1"/>
  <c r="BI165" i="25"/>
  <c r="N181" i="25"/>
  <c r="O181" i="25" s="1"/>
  <c r="Q181" i="25" s="1"/>
  <c r="BI181" i="25"/>
  <c r="N197" i="25"/>
  <c r="O197" i="25" s="1"/>
  <c r="Q197" i="25" s="1"/>
  <c r="BI197" i="25"/>
  <c r="L111" i="25"/>
  <c r="BI111" i="25"/>
  <c r="N155" i="25"/>
  <c r="O155" i="25" s="1"/>
  <c r="Q155" i="25" s="1"/>
  <c r="BI155" i="25"/>
  <c r="L114" i="25"/>
  <c r="BI114" i="25"/>
  <c r="L130" i="25"/>
  <c r="BI130" i="25"/>
  <c r="N146" i="25"/>
  <c r="O146" i="25" s="1"/>
  <c r="Q146" i="25" s="1"/>
  <c r="BI146" i="25"/>
  <c r="N162" i="25"/>
  <c r="O162" i="25" s="1"/>
  <c r="Q162" i="25" s="1"/>
  <c r="BI162" i="25"/>
  <c r="L178" i="25"/>
  <c r="BI178" i="25"/>
  <c r="L194" i="25"/>
  <c r="BI194" i="25"/>
  <c r="L210" i="25"/>
  <c r="BI210" i="25"/>
  <c r="N171" i="25"/>
  <c r="O171" i="25" s="1"/>
  <c r="R171" i="25" s="1"/>
  <c r="BI171" i="25"/>
  <c r="L132" i="25"/>
  <c r="BI132" i="25"/>
  <c r="N148" i="25"/>
  <c r="O148" i="25" s="1"/>
  <c r="Q148" i="25" s="1"/>
  <c r="BI148" i="25"/>
  <c r="N180" i="25"/>
  <c r="O180" i="25" s="1"/>
  <c r="R180" i="25" s="1"/>
  <c r="BI180" i="25"/>
  <c r="L196" i="25"/>
  <c r="BI196" i="25"/>
  <c r="N127" i="25"/>
  <c r="O127" i="25" s="1"/>
  <c r="Q127" i="25" s="1"/>
  <c r="BI127" i="25"/>
  <c r="L187" i="25"/>
  <c r="BI187" i="25"/>
  <c r="N125" i="25"/>
  <c r="O125" i="25" s="1"/>
  <c r="Q125" i="25" s="1"/>
  <c r="BI125" i="25"/>
  <c r="N141" i="25"/>
  <c r="O141" i="25" s="1"/>
  <c r="R141" i="25" s="1"/>
  <c r="BI141" i="25"/>
  <c r="N173" i="25"/>
  <c r="O173" i="25" s="1"/>
  <c r="R173" i="25" s="1"/>
  <c r="BI173" i="25"/>
  <c r="N205" i="25"/>
  <c r="O205" i="25" s="1"/>
  <c r="Q205" i="25" s="1"/>
  <c r="BI205" i="25"/>
  <c r="L135" i="25"/>
  <c r="BI135" i="25"/>
  <c r="L179" i="25"/>
  <c r="BI179" i="25"/>
  <c r="N122" i="25"/>
  <c r="O122" i="25" s="1"/>
  <c r="R122" i="25" s="1"/>
  <c r="BI122" i="25"/>
  <c r="L154" i="25"/>
  <c r="BI154" i="25"/>
  <c r="N170" i="25"/>
  <c r="O170" i="25" s="1"/>
  <c r="R170" i="25" s="1"/>
  <c r="BI170" i="25"/>
  <c r="L186" i="25"/>
  <c r="BI186" i="25"/>
  <c r="N202" i="25"/>
  <c r="O202" i="25" s="1"/>
  <c r="R202" i="25" s="1"/>
  <c r="BI202" i="25"/>
  <c r="L161" i="25"/>
  <c r="BI161" i="25"/>
  <c r="L123" i="25"/>
  <c r="BI123" i="25"/>
  <c r="N163" i="25"/>
  <c r="O163" i="25" s="1"/>
  <c r="Q163" i="25" s="1"/>
  <c r="BI163" i="25"/>
  <c r="L112" i="25"/>
  <c r="BI112" i="25"/>
  <c r="N128" i="25"/>
  <c r="O128" i="25" s="1"/>
  <c r="Q128" i="25" s="1"/>
  <c r="BI128" i="25"/>
  <c r="L144" i="25"/>
  <c r="BI144" i="25"/>
  <c r="L160" i="25"/>
  <c r="BI160" i="25"/>
  <c r="N176" i="25"/>
  <c r="O176" i="25" s="1"/>
  <c r="R176" i="25" s="1"/>
  <c r="BI176" i="25"/>
  <c r="L192" i="25"/>
  <c r="BI192" i="25"/>
  <c r="N208" i="25"/>
  <c r="O208" i="25" s="1"/>
  <c r="Q208" i="25" s="1"/>
  <c r="BI208" i="25"/>
  <c r="L175" i="25"/>
  <c r="BI175" i="25"/>
  <c r="N203" i="25"/>
  <c r="O203" i="25" s="1"/>
  <c r="Q203" i="25" s="1"/>
  <c r="BI203" i="25"/>
  <c r="N121" i="25"/>
  <c r="O121" i="25" s="1"/>
  <c r="Q121" i="25" s="1"/>
  <c r="BI121" i="25"/>
  <c r="L137" i="25"/>
  <c r="BI137" i="25"/>
  <c r="L153" i="25"/>
  <c r="BI153" i="25"/>
  <c r="L169" i="25"/>
  <c r="BI169" i="25"/>
  <c r="L185" i="25"/>
  <c r="BI185" i="25"/>
  <c r="L201" i="25"/>
  <c r="BI201" i="25"/>
  <c r="L119" i="25"/>
  <c r="BI119" i="25"/>
  <c r="L167" i="25"/>
  <c r="BI167" i="25"/>
  <c r="N118" i="25"/>
  <c r="O118" i="25" s="1"/>
  <c r="R118" i="25" s="1"/>
  <c r="BI118" i="25"/>
  <c r="L134" i="25"/>
  <c r="BI134" i="25"/>
  <c r="N150" i="25"/>
  <c r="O150" i="25" s="1"/>
  <c r="Q150" i="25" s="1"/>
  <c r="BI150" i="25"/>
  <c r="L166" i="25"/>
  <c r="BI166" i="25"/>
  <c r="L182" i="25"/>
  <c r="BI182" i="25"/>
  <c r="L198" i="25"/>
  <c r="BI198" i="25"/>
  <c r="K171" i="24"/>
  <c r="BK171" i="24"/>
  <c r="M123" i="24"/>
  <c r="N123" i="24" s="1"/>
  <c r="P123" i="24" s="1"/>
  <c r="BK123" i="24"/>
  <c r="K175" i="24"/>
  <c r="BK175" i="24"/>
  <c r="M128" i="24"/>
  <c r="N128" i="24" s="1"/>
  <c r="P128" i="24" s="1"/>
  <c r="BK128" i="24"/>
  <c r="K184" i="24"/>
  <c r="BK184" i="24"/>
  <c r="M142" i="24"/>
  <c r="N142" i="24" s="1"/>
  <c r="P142" i="24" s="1"/>
  <c r="BK142" i="24"/>
  <c r="M194" i="24"/>
  <c r="N194" i="24" s="1"/>
  <c r="P194" i="24" s="1"/>
  <c r="BK194" i="24"/>
  <c r="K151" i="24"/>
  <c r="BK151" i="24"/>
  <c r="K124" i="24"/>
  <c r="BK124" i="24"/>
  <c r="K114" i="24"/>
  <c r="BK114" i="24"/>
  <c r="M181" i="24"/>
  <c r="N181" i="24" s="1"/>
  <c r="P181" i="24" s="1"/>
  <c r="BK181" i="24"/>
  <c r="M165" i="24"/>
  <c r="N165" i="24" s="1"/>
  <c r="P165" i="24" s="1"/>
  <c r="BK165" i="24"/>
  <c r="K133" i="24"/>
  <c r="BK133" i="24"/>
  <c r="M208" i="24"/>
  <c r="N208" i="24" s="1"/>
  <c r="P208" i="24" s="1"/>
  <c r="BK208" i="24"/>
  <c r="K166" i="24"/>
  <c r="BK166" i="24"/>
  <c r="M115" i="24"/>
  <c r="N115" i="24" s="1"/>
  <c r="P115" i="24" s="1"/>
  <c r="BK115" i="24"/>
  <c r="M170" i="24"/>
  <c r="N170" i="24" s="1"/>
  <c r="P170" i="24" s="1"/>
  <c r="BK170" i="24"/>
  <c r="K120" i="24"/>
  <c r="BK120" i="24"/>
  <c r="M179" i="24"/>
  <c r="N179" i="24" s="1"/>
  <c r="BK179" i="24"/>
  <c r="K135" i="24"/>
  <c r="BK135" i="24"/>
  <c r="M210" i="24"/>
  <c r="BK210" i="24"/>
  <c r="M167" i="24"/>
  <c r="N167" i="24" s="1"/>
  <c r="P167" i="24" s="1"/>
  <c r="BK167" i="24"/>
  <c r="K146" i="24"/>
  <c r="BK146" i="24"/>
  <c r="K126" i="24"/>
  <c r="BK126" i="24"/>
  <c r="K193" i="24"/>
  <c r="BK193" i="24"/>
  <c r="M161" i="24"/>
  <c r="N161" i="24" s="1"/>
  <c r="P161" i="24" s="1"/>
  <c r="BK161" i="24"/>
  <c r="K113" i="24"/>
  <c r="BK113" i="24"/>
  <c r="K198" i="24"/>
  <c r="BK198" i="24"/>
  <c r="K176" i="24"/>
  <c r="BK176" i="24"/>
  <c r="M155" i="24"/>
  <c r="N155" i="24" s="1"/>
  <c r="P155" i="24" s="1"/>
  <c r="BK155" i="24"/>
  <c r="M131" i="24"/>
  <c r="N131" i="24" s="1"/>
  <c r="P131" i="24" s="1"/>
  <c r="BK131" i="24"/>
  <c r="K202" i="24"/>
  <c r="BK202" i="24"/>
  <c r="K180" i="24"/>
  <c r="BK180" i="24"/>
  <c r="M159" i="24"/>
  <c r="N159" i="24" s="1"/>
  <c r="P159" i="24" s="1"/>
  <c r="BK159" i="24"/>
  <c r="M136" i="24"/>
  <c r="N136" i="24" s="1"/>
  <c r="P136" i="24" s="1"/>
  <c r="BK136" i="24"/>
  <c r="K190" i="24"/>
  <c r="BK190" i="24"/>
  <c r="K168" i="24"/>
  <c r="BK168" i="24"/>
  <c r="K147" i="24"/>
  <c r="BK147" i="24"/>
  <c r="M119" i="24"/>
  <c r="N119" i="24" s="1"/>
  <c r="P119" i="24" s="1"/>
  <c r="BK119" i="24"/>
  <c r="M199" i="24"/>
  <c r="N199" i="24" s="1"/>
  <c r="P199" i="24" s="1"/>
  <c r="BK199" i="24"/>
  <c r="K178" i="24"/>
  <c r="BK178" i="24"/>
  <c r="K156" i="24"/>
  <c r="BK156" i="24"/>
  <c r="K132" i="24"/>
  <c r="BK132" i="24"/>
  <c r="M134" i="24"/>
  <c r="N134" i="24" s="1"/>
  <c r="P134" i="24" s="1"/>
  <c r="BK134" i="24"/>
  <c r="K118" i="24"/>
  <c r="BK118" i="24"/>
  <c r="M201" i="24"/>
  <c r="N201" i="24" s="1"/>
  <c r="P201" i="24" s="1"/>
  <c r="BK201" i="24"/>
  <c r="K185" i="24"/>
  <c r="BK185" i="24"/>
  <c r="M169" i="24"/>
  <c r="N169" i="24" s="1"/>
  <c r="P169" i="24" s="1"/>
  <c r="BK169" i="24"/>
  <c r="K153" i="24"/>
  <c r="BK153" i="24"/>
  <c r="M137" i="24"/>
  <c r="N137" i="24" s="1"/>
  <c r="P137" i="24" s="1"/>
  <c r="BK137" i="24"/>
  <c r="K121" i="24"/>
  <c r="BK121" i="24"/>
  <c r="M192" i="24"/>
  <c r="N192" i="24" s="1"/>
  <c r="P192" i="24" s="1"/>
  <c r="BK192" i="24"/>
  <c r="M150" i="24"/>
  <c r="N150" i="24" s="1"/>
  <c r="P150" i="24" s="1"/>
  <c r="BK150" i="24"/>
  <c r="M196" i="24"/>
  <c r="N196" i="24" s="1"/>
  <c r="P196" i="24" s="1"/>
  <c r="BK196" i="24"/>
  <c r="M154" i="24"/>
  <c r="N154" i="24" s="1"/>
  <c r="P154" i="24" s="1"/>
  <c r="BK154" i="24"/>
  <c r="M206" i="24"/>
  <c r="N206" i="24" s="1"/>
  <c r="P206" i="24" s="1"/>
  <c r="BK206" i="24"/>
  <c r="M163" i="24"/>
  <c r="N163" i="24" s="1"/>
  <c r="P163" i="24" s="1"/>
  <c r="BK163" i="24"/>
  <c r="K111" i="24"/>
  <c r="BK111" i="24"/>
  <c r="M172" i="24"/>
  <c r="N172" i="24" s="1"/>
  <c r="P172" i="24" s="1"/>
  <c r="BK172" i="24"/>
  <c r="K130" i="24"/>
  <c r="BK130" i="24"/>
  <c r="K197" i="24"/>
  <c r="BK197" i="24"/>
  <c r="M149" i="24"/>
  <c r="N149" i="24" s="1"/>
  <c r="P149" i="24" s="1"/>
  <c r="BK149" i="24"/>
  <c r="K117" i="24"/>
  <c r="BK117" i="24"/>
  <c r="M187" i="24"/>
  <c r="N187" i="24" s="1"/>
  <c r="P187" i="24" s="1"/>
  <c r="BK187" i="24"/>
  <c r="K144" i="24"/>
  <c r="BK144" i="24"/>
  <c r="K191" i="24"/>
  <c r="BK191" i="24"/>
  <c r="M148" i="24"/>
  <c r="N148" i="24" s="1"/>
  <c r="P148" i="24" s="1"/>
  <c r="BK148" i="24"/>
  <c r="K200" i="24"/>
  <c r="BK200" i="24"/>
  <c r="K158" i="24"/>
  <c r="BK158" i="24"/>
  <c r="M188" i="24"/>
  <c r="N188" i="24" s="1"/>
  <c r="P188" i="24" s="1"/>
  <c r="BK188" i="24"/>
  <c r="M116" i="24"/>
  <c r="N116" i="24" s="1"/>
  <c r="P116" i="24" s="1"/>
  <c r="BK116" i="24"/>
  <c r="K209" i="24"/>
  <c r="BK209" i="24"/>
  <c r="M177" i="24"/>
  <c r="N177" i="24" s="1"/>
  <c r="P177" i="24" s="1"/>
  <c r="BK177" i="24"/>
  <c r="M145" i="24"/>
  <c r="N145" i="24" s="1"/>
  <c r="P145" i="24" s="1"/>
  <c r="BK145" i="24"/>
  <c r="K129" i="24"/>
  <c r="BK129" i="24"/>
  <c r="M203" i="24"/>
  <c r="N203" i="24" s="1"/>
  <c r="P203" i="24" s="1"/>
  <c r="BK203" i="24"/>
  <c r="M182" i="24"/>
  <c r="N182" i="24" s="1"/>
  <c r="P182" i="24" s="1"/>
  <c r="BK182" i="24"/>
  <c r="K160" i="24"/>
  <c r="BK160" i="24"/>
  <c r="K139" i="24"/>
  <c r="BK139" i="24"/>
  <c r="M207" i="24"/>
  <c r="N207" i="24" s="1"/>
  <c r="P207" i="24" s="1"/>
  <c r="BK207" i="24"/>
  <c r="M186" i="24"/>
  <c r="N186" i="24" s="1"/>
  <c r="P186" i="24" s="1"/>
  <c r="BK186" i="24"/>
  <c r="K164" i="24"/>
  <c r="BK164" i="24"/>
  <c r="K143" i="24"/>
  <c r="BK143" i="24"/>
  <c r="M112" i="24"/>
  <c r="N112" i="24" s="1"/>
  <c r="P112" i="24" s="1"/>
  <c r="BK112" i="24"/>
  <c r="K195" i="24"/>
  <c r="BK195" i="24"/>
  <c r="K174" i="24"/>
  <c r="BK174" i="24"/>
  <c r="M152" i="24"/>
  <c r="N152" i="24" s="1"/>
  <c r="P152" i="24" s="1"/>
  <c r="BK152" i="24"/>
  <c r="K127" i="24"/>
  <c r="BK127" i="24"/>
  <c r="K204" i="24"/>
  <c r="BK204" i="24"/>
  <c r="M183" i="24"/>
  <c r="N183" i="24" s="1"/>
  <c r="P183" i="24" s="1"/>
  <c r="BK183" i="24"/>
  <c r="M162" i="24"/>
  <c r="N162" i="24" s="1"/>
  <c r="P162" i="24" s="1"/>
  <c r="BK162" i="24"/>
  <c r="K140" i="24"/>
  <c r="BK140" i="24"/>
  <c r="K138" i="24"/>
  <c r="BK138" i="24"/>
  <c r="M122" i="24"/>
  <c r="N122" i="24" s="1"/>
  <c r="P122" i="24" s="1"/>
  <c r="BK122" i="24"/>
  <c r="M205" i="24"/>
  <c r="N205" i="24" s="1"/>
  <c r="P205" i="24" s="1"/>
  <c r="BK205" i="24"/>
  <c r="K189" i="24"/>
  <c r="BK189" i="24"/>
  <c r="K173" i="24"/>
  <c r="BK173" i="24"/>
  <c r="M157" i="24"/>
  <c r="N157" i="24" s="1"/>
  <c r="P157" i="24" s="1"/>
  <c r="BK157" i="24"/>
  <c r="K141" i="24"/>
  <c r="BK141" i="24"/>
  <c r="M125" i="24"/>
  <c r="N125" i="24" s="1"/>
  <c r="P125" i="24" s="1"/>
  <c r="BK125" i="24"/>
  <c r="N187" i="25"/>
  <c r="O187" i="25" s="1"/>
  <c r="Q187" i="25" s="1"/>
  <c r="L200" i="25"/>
  <c r="B249" i="2"/>
  <c r="L13" i="1"/>
  <c r="J5" i="24"/>
  <c r="O5" i="24"/>
  <c r="S216" i="24"/>
  <c r="T216" i="24" s="1"/>
  <c r="S110" i="24"/>
  <c r="T110" i="24" s="1"/>
  <c r="P179" i="24"/>
  <c r="A28" i="16"/>
  <c r="P5" i="24"/>
  <c r="U5" i="24"/>
  <c r="T5" i="25"/>
  <c r="U5" i="25" s="1"/>
  <c r="N110" i="25"/>
  <c r="T110" i="25" s="1"/>
  <c r="U110" i="25" s="1"/>
  <c r="M110" i="24"/>
  <c r="BP5" i="25"/>
  <c r="L176" i="25"/>
  <c r="B245" i="2"/>
  <c r="D245" i="2" s="1"/>
  <c r="D34" i="16"/>
  <c r="L155" i="25"/>
  <c r="N149" i="25"/>
  <c r="O149" i="25" s="1"/>
  <c r="R149" i="25" s="1"/>
  <c r="N115" i="25"/>
  <c r="O115" i="25" s="1"/>
  <c r="R115" i="25" s="1"/>
  <c r="L172" i="25"/>
  <c r="N199" i="25"/>
  <c r="O199" i="25" s="1"/>
  <c r="R199" i="25" s="1"/>
  <c r="L124" i="25"/>
  <c r="N156" i="25"/>
  <c r="O156" i="25" s="1"/>
  <c r="R156" i="25" s="1"/>
  <c r="N114" i="25"/>
  <c r="O114" i="25" s="1"/>
  <c r="Q114" i="25" s="1"/>
  <c r="N130" i="25"/>
  <c r="O130" i="25" s="1"/>
  <c r="Q130" i="25" s="1"/>
  <c r="L195" i="25"/>
  <c r="N194" i="25"/>
  <c r="O194" i="25" s="1"/>
  <c r="R194" i="25" s="1"/>
  <c r="L162" i="25"/>
  <c r="L151" i="25"/>
  <c r="N143" i="25"/>
  <c r="O143" i="25" s="1"/>
  <c r="Q143" i="25" s="1"/>
  <c r="L145" i="25"/>
  <c r="O9" i="25"/>
  <c r="R9" i="25" s="1"/>
  <c r="O10" i="25"/>
  <c r="Q10" i="25" s="1"/>
  <c r="O80" i="25"/>
  <c r="Q80" i="25" s="1"/>
  <c r="O53" i="25"/>
  <c r="R53" i="25" s="1"/>
  <c r="L113" i="25"/>
  <c r="N161" i="25"/>
  <c r="O161" i="25" s="1"/>
  <c r="Q161" i="25" s="1"/>
  <c r="W42" i="2"/>
  <c r="W43" i="2" s="1"/>
  <c r="R43" i="2"/>
  <c r="N111" i="25"/>
  <c r="O111" i="25" s="1"/>
  <c r="R111" i="25" s="1"/>
  <c r="N159" i="25"/>
  <c r="O159" i="25" s="1"/>
  <c r="R159" i="25" s="1"/>
  <c r="L133" i="25"/>
  <c r="L197" i="25"/>
  <c r="N140" i="25"/>
  <c r="O140" i="25" s="1"/>
  <c r="R140" i="25" s="1"/>
  <c r="N178" i="25"/>
  <c r="O178" i="25" s="1"/>
  <c r="Q178" i="25" s="1"/>
  <c r="N210" i="25"/>
  <c r="O210" i="25" s="1"/>
  <c r="Q210" i="25" s="1"/>
  <c r="L146" i="25"/>
  <c r="L204" i="25"/>
  <c r="L117" i="25"/>
  <c r="L165" i="25"/>
  <c r="L188" i="25"/>
  <c r="L181" i="25"/>
  <c r="L184" i="25"/>
  <c r="L177" i="25"/>
  <c r="N193" i="25"/>
  <c r="O193" i="25" s="1"/>
  <c r="Q193" i="25" s="1"/>
  <c r="N147" i="25"/>
  <c r="O147" i="25" s="1"/>
  <c r="R147" i="25" s="1"/>
  <c r="L139" i="25"/>
  <c r="L142" i="25"/>
  <c r="L183" i="25"/>
  <c r="N168" i="25"/>
  <c r="O168" i="25" s="1"/>
  <c r="Q168" i="25" s="1"/>
  <c r="N174" i="25"/>
  <c r="O174" i="25" s="1"/>
  <c r="Q174" i="25" s="1"/>
  <c r="O57" i="25"/>
  <c r="R57" i="25" s="1"/>
  <c r="O89" i="25"/>
  <c r="R89" i="25" s="1"/>
  <c r="O94" i="25"/>
  <c r="R94" i="25" s="1"/>
  <c r="O55" i="25"/>
  <c r="Q55" i="25" s="1"/>
  <c r="O65" i="25"/>
  <c r="Q65" i="25" s="1"/>
  <c r="O12" i="25"/>
  <c r="R12" i="25" s="1"/>
  <c r="O104" i="25"/>
  <c r="Q104" i="25" s="1"/>
  <c r="O13" i="25"/>
  <c r="R13" i="25" s="1"/>
  <c r="O32" i="25"/>
  <c r="Q32" i="25" s="1"/>
  <c r="O52" i="25"/>
  <c r="Q52" i="25" s="1"/>
  <c r="O18" i="25"/>
  <c r="R18" i="25" s="1"/>
  <c r="O31" i="25"/>
  <c r="Q31" i="25" s="1"/>
  <c r="O59" i="25"/>
  <c r="Q59" i="25" s="1"/>
  <c r="O93" i="25"/>
  <c r="Q93" i="25" s="1"/>
  <c r="R44" i="2"/>
  <c r="B26" i="2"/>
  <c r="L118" i="25"/>
  <c r="N175" i="25"/>
  <c r="O175" i="25" s="1"/>
  <c r="R175" i="25" s="1"/>
  <c r="L148" i="25"/>
  <c r="L122" i="25"/>
  <c r="N136" i="25"/>
  <c r="O136" i="25" s="1"/>
  <c r="R136" i="25" s="1"/>
  <c r="L180" i="25"/>
  <c r="N120" i="25"/>
  <c r="O120" i="25" s="1"/>
  <c r="R120" i="25" s="1"/>
  <c r="L163" i="25"/>
  <c r="N129" i="25"/>
  <c r="O129" i="25" s="1"/>
  <c r="Q129" i="25" s="1"/>
  <c r="N119" i="25"/>
  <c r="O119" i="25" s="1"/>
  <c r="Q119" i="25" s="1"/>
  <c r="L128" i="25"/>
  <c r="L158" i="25"/>
  <c r="L152" i="25"/>
  <c r="N191" i="25"/>
  <c r="O191" i="25" s="1"/>
  <c r="R191" i="25" s="1"/>
  <c r="N192" i="25"/>
  <c r="O192" i="25" s="1"/>
  <c r="R192" i="25" s="1"/>
  <c r="N185" i="25"/>
  <c r="O185" i="25" s="1"/>
  <c r="Q185" i="25" s="1"/>
  <c r="N166" i="25"/>
  <c r="O166" i="25" s="1"/>
  <c r="Q166" i="25" s="1"/>
  <c r="L203" i="25"/>
  <c r="N167" i="25"/>
  <c r="O167" i="25" s="1"/>
  <c r="R167" i="25" s="1"/>
  <c r="L207" i="25"/>
  <c r="N209" i="25"/>
  <c r="O209" i="25" s="1"/>
  <c r="Q209" i="25" s="1"/>
  <c r="L126" i="25"/>
  <c r="N206" i="25"/>
  <c r="O206" i="25" s="1"/>
  <c r="Q206" i="25" s="1"/>
  <c r="N160" i="25"/>
  <c r="O160" i="25" s="1"/>
  <c r="R160" i="25" s="1"/>
  <c r="N153" i="25"/>
  <c r="O153" i="25" s="1"/>
  <c r="Q153" i="25" s="1"/>
  <c r="N134" i="25"/>
  <c r="O134" i="25" s="1"/>
  <c r="Q134" i="25" s="1"/>
  <c r="N198" i="25"/>
  <c r="O198" i="25" s="1"/>
  <c r="R198" i="25" s="1"/>
  <c r="N201" i="25"/>
  <c r="O201" i="25" s="1"/>
  <c r="R201" i="25" s="1"/>
  <c r="N112" i="25"/>
  <c r="O112" i="25" s="1"/>
  <c r="R112" i="25" s="1"/>
  <c r="L121" i="25"/>
  <c r="N123" i="25"/>
  <c r="O123" i="25" s="1"/>
  <c r="L150" i="25"/>
  <c r="N144" i="25"/>
  <c r="O144" i="25" s="1"/>
  <c r="Q144" i="25" s="1"/>
  <c r="N137" i="25"/>
  <c r="O137" i="25" s="1"/>
  <c r="R137" i="25" s="1"/>
  <c r="N169" i="25"/>
  <c r="O169" i="25" s="1"/>
  <c r="Q169" i="25" s="1"/>
  <c r="N182" i="25"/>
  <c r="O182" i="25" s="1"/>
  <c r="R182" i="25" s="1"/>
  <c r="L208" i="25"/>
  <c r="L190" i="25"/>
  <c r="L127" i="25"/>
  <c r="N116" i="25"/>
  <c r="O116" i="25" s="1"/>
  <c r="Q116" i="25" s="1"/>
  <c r="O158" i="25"/>
  <c r="R158" i="25" s="1"/>
  <c r="O87" i="25"/>
  <c r="Q87" i="25" s="1"/>
  <c r="O29" i="25"/>
  <c r="R29" i="25" s="1"/>
  <c r="O64" i="25"/>
  <c r="R64" i="25" s="1"/>
  <c r="O35" i="25"/>
  <c r="R35" i="25" s="1"/>
  <c r="O62" i="25"/>
  <c r="R62" i="25" s="1"/>
  <c r="O81" i="25"/>
  <c r="R81" i="25" s="1"/>
  <c r="O72" i="25"/>
  <c r="Q72" i="25" s="1"/>
  <c r="O22" i="25"/>
  <c r="Q22" i="25" s="1"/>
  <c r="O82" i="25"/>
  <c r="Q82" i="25" s="1"/>
  <c r="O63" i="25"/>
  <c r="R63" i="25" s="1"/>
  <c r="O41" i="25"/>
  <c r="Q41" i="25" s="1"/>
  <c r="O67" i="25"/>
  <c r="R67" i="25" s="1"/>
  <c r="O86" i="25"/>
  <c r="Q86" i="25" s="1"/>
  <c r="O44" i="25"/>
  <c r="Q44" i="25" s="1"/>
  <c r="O79" i="25"/>
  <c r="R79" i="25" s="1"/>
  <c r="O100" i="25"/>
  <c r="Q100" i="25" s="1"/>
  <c r="O90" i="25"/>
  <c r="Q90" i="25" s="1"/>
  <c r="O58" i="25"/>
  <c r="Q58" i="25" s="1"/>
  <c r="O30" i="25"/>
  <c r="R30" i="25" s="1"/>
  <c r="O73" i="25"/>
  <c r="R73" i="25" s="1"/>
  <c r="O15" i="25"/>
  <c r="Q15" i="25" s="1"/>
  <c r="O25" i="25"/>
  <c r="R25" i="25" s="1"/>
  <c r="O24" i="25"/>
  <c r="R24" i="25" s="1"/>
  <c r="O6" i="25"/>
  <c r="Q6" i="25" s="1"/>
  <c r="O88" i="25"/>
  <c r="Q88" i="25" s="1"/>
  <c r="O47" i="25"/>
  <c r="Q47" i="25" s="1"/>
  <c r="O16" i="25"/>
  <c r="R16" i="25" s="1"/>
  <c r="O85" i="25"/>
  <c r="Q85" i="25" s="1"/>
  <c r="O60" i="25"/>
  <c r="R60" i="25" s="1"/>
  <c r="O61" i="25"/>
  <c r="R61" i="25" s="1"/>
  <c r="O49" i="25"/>
  <c r="R49" i="25" s="1"/>
  <c r="O8" i="25"/>
  <c r="Q8" i="25" s="1"/>
  <c r="O40" i="25"/>
  <c r="Q40" i="25" s="1"/>
  <c r="O76" i="25"/>
  <c r="Q76" i="25" s="1"/>
  <c r="O26" i="25"/>
  <c r="Q26" i="25" s="1"/>
  <c r="O71" i="25"/>
  <c r="R71" i="25" s="1"/>
  <c r="O69" i="25"/>
  <c r="Q69" i="25" s="1"/>
  <c r="O101" i="25"/>
  <c r="R101" i="25" s="1"/>
  <c r="O21" i="25"/>
  <c r="Q21" i="25" s="1"/>
  <c r="O50" i="25"/>
  <c r="R50" i="25" s="1"/>
  <c r="O99" i="25"/>
  <c r="R99" i="25" s="1"/>
  <c r="O23" i="25"/>
  <c r="Q23" i="25" s="1"/>
  <c r="O51" i="25"/>
  <c r="Q51" i="25" s="1"/>
  <c r="O83" i="25"/>
  <c r="Q83" i="25" s="1"/>
  <c r="O96" i="25"/>
  <c r="Q96" i="25" s="1"/>
  <c r="O91" i="25"/>
  <c r="Q91" i="25" s="1"/>
  <c r="O43" i="25"/>
  <c r="Q43" i="25" s="1"/>
  <c r="O38" i="25"/>
  <c r="Q38" i="25" s="1"/>
  <c r="O70" i="25"/>
  <c r="Q70" i="25" s="1"/>
  <c r="O39" i="25"/>
  <c r="R39" i="25" s="1"/>
  <c r="O37" i="25"/>
  <c r="R37" i="25" s="1"/>
  <c r="O36" i="25"/>
  <c r="Q36" i="25" s="1"/>
  <c r="O84" i="25"/>
  <c r="Q84" i="25" s="1"/>
  <c r="O75" i="25"/>
  <c r="Q75" i="25" s="1"/>
  <c r="O19" i="25"/>
  <c r="R19" i="25" s="1"/>
  <c r="O74" i="25"/>
  <c r="Q74" i="25" s="1"/>
  <c r="O46" i="25"/>
  <c r="R46" i="25" s="1"/>
  <c r="O48" i="25"/>
  <c r="R48" i="25" s="1"/>
  <c r="O105" i="25"/>
  <c r="Q105" i="25" s="1"/>
  <c r="O45" i="25"/>
  <c r="Q45" i="25" s="1"/>
  <c r="O7" i="25"/>
  <c r="R7" i="25" s="1"/>
  <c r="O33" i="25"/>
  <c r="Q33" i="25" s="1"/>
  <c r="O28" i="25"/>
  <c r="Q28" i="25" s="1"/>
  <c r="O54" i="25"/>
  <c r="Q54" i="25" s="1"/>
  <c r="O68" i="25"/>
  <c r="R68" i="25" s="1"/>
  <c r="O42" i="25"/>
  <c r="R42" i="25" s="1"/>
  <c r="O92" i="25"/>
  <c r="Q92" i="25" s="1"/>
  <c r="O103" i="25"/>
  <c r="Q103" i="25" s="1"/>
  <c r="O14" i="25"/>
  <c r="Q14" i="25" s="1"/>
  <c r="O27" i="25"/>
  <c r="R27" i="25" s="1"/>
  <c r="O66" i="25"/>
  <c r="R66" i="25" s="1"/>
  <c r="O11" i="25"/>
  <c r="Q11" i="25" s="1"/>
  <c r="O17" i="25"/>
  <c r="R17" i="25" s="1"/>
  <c r="O77" i="25"/>
  <c r="Q77" i="25" s="1"/>
  <c r="O20" i="25"/>
  <c r="R20" i="25" s="1"/>
  <c r="O56" i="25"/>
  <c r="Q56" i="25" s="1"/>
  <c r="O97" i="25"/>
  <c r="Q97" i="25" s="1"/>
  <c r="O98" i="25"/>
  <c r="R98" i="25" s="1"/>
  <c r="O102" i="25"/>
  <c r="R102" i="25" s="1"/>
  <c r="O95" i="25"/>
  <c r="R95" i="25" s="1"/>
  <c r="O34" i="25"/>
  <c r="R34" i="25" s="1"/>
  <c r="O78" i="25"/>
  <c r="Q78" i="25" s="1"/>
  <c r="L171" i="25"/>
  <c r="L110" i="25"/>
  <c r="L141" i="25"/>
  <c r="L173" i="25"/>
  <c r="L205" i="25"/>
  <c r="N154" i="25"/>
  <c r="O154" i="25" s="1"/>
  <c r="Q154" i="25" s="1"/>
  <c r="N186" i="25"/>
  <c r="O186" i="25" s="1"/>
  <c r="Q186" i="25" s="1"/>
  <c r="N179" i="25"/>
  <c r="O179" i="25" s="1"/>
  <c r="Q179" i="25" s="1"/>
  <c r="L138" i="25"/>
  <c r="L170" i="25"/>
  <c r="L202" i="25"/>
  <c r="N135" i="25"/>
  <c r="O135" i="25" s="1"/>
  <c r="R135" i="25" s="1"/>
  <c r="L131" i="25"/>
  <c r="L125" i="25"/>
  <c r="L157" i="25"/>
  <c r="L189" i="25"/>
  <c r="N132" i="25"/>
  <c r="O132" i="25" s="1"/>
  <c r="Q132" i="25" s="1"/>
  <c r="N164" i="25"/>
  <c r="O164" i="25" s="1"/>
  <c r="Q164" i="25" s="1"/>
  <c r="N196" i="25"/>
  <c r="O196" i="25" s="1"/>
  <c r="Q196" i="25" s="1"/>
  <c r="I9" i="19"/>
  <c r="I8" i="19"/>
  <c r="I7" i="19"/>
  <c r="I6" i="19"/>
  <c r="N238" i="25"/>
  <c r="O238" i="25" s="1"/>
  <c r="L238" i="25"/>
  <c r="N242" i="25"/>
  <c r="O242" i="25" s="1"/>
  <c r="L242" i="25"/>
  <c r="N246" i="25"/>
  <c r="O246" i="25" s="1"/>
  <c r="L246" i="25"/>
  <c r="N234" i="25"/>
  <c r="O234" i="25" s="1"/>
  <c r="L234" i="25"/>
  <c r="N286" i="25"/>
  <c r="O286" i="25" s="1"/>
  <c r="L286" i="25"/>
  <c r="N302" i="25"/>
  <c r="O302" i="25" s="1"/>
  <c r="L302" i="25"/>
  <c r="N216" i="25"/>
  <c r="L216" i="25"/>
  <c r="N231" i="25"/>
  <c r="O231" i="25" s="1"/>
  <c r="L231" i="25"/>
  <c r="L247" i="25"/>
  <c r="N247" i="25"/>
  <c r="O247" i="25" s="1"/>
  <c r="L263" i="25"/>
  <c r="N263" i="25"/>
  <c r="O263" i="25" s="1"/>
  <c r="L279" i="25"/>
  <c r="N279" i="25"/>
  <c r="O279" i="25" s="1"/>
  <c r="L295" i="25"/>
  <c r="N295" i="25"/>
  <c r="O295" i="25" s="1"/>
  <c r="N311" i="25"/>
  <c r="O311" i="25" s="1"/>
  <c r="L311" i="25"/>
  <c r="L228" i="25"/>
  <c r="N228" i="25"/>
  <c r="O228" i="25" s="1"/>
  <c r="L244" i="25"/>
  <c r="N244" i="25"/>
  <c r="O244" i="25" s="1"/>
  <c r="L260" i="25"/>
  <c r="N260" i="25"/>
  <c r="O260" i="25" s="1"/>
  <c r="N276" i="25"/>
  <c r="O276" i="25" s="1"/>
  <c r="L276" i="25"/>
  <c r="L292" i="25"/>
  <c r="N292" i="25"/>
  <c r="O292" i="25" s="1"/>
  <c r="N308" i="25"/>
  <c r="O308" i="25" s="1"/>
  <c r="L308" i="25"/>
  <c r="N221" i="25"/>
  <c r="O221" i="25" s="1"/>
  <c r="L221" i="25"/>
  <c r="L237" i="25"/>
  <c r="N237" i="25"/>
  <c r="O237" i="25" s="1"/>
  <c r="L253" i="25"/>
  <c r="N253" i="25"/>
  <c r="O253" i="25" s="1"/>
  <c r="L269" i="25"/>
  <c r="N269" i="25"/>
  <c r="O269" i="25" s="1"/>
  <c r="N285" i="25"/>
  <c r="O285" i="25" s="1"/>
  <c r="L285" i="25"/>
  <c r="L301" i="25"/>
  <c r="N301" i="25"/>
  <c r="O301" i="25" s="1"/>
  <c r="N254" i="25"/>
  <c r="O254" i="25" s="1"/>
  <c r="L254" i="25"/>
  <c r="N258" i="25"/>
  <c r="O258" i="25" s="1"/>
  <c r="L258" i="25"/>
  <c r="N262" i="25"/>
  <c r="O262" i="25" s="1"/>
  <c r="L262" i="25"/>
  <c r="N250" i="25"/>
  <c r="O250" i="25" s="1"/>
  <c r="L250" i="25"/>
  <c r="N290" i="25"/>
  <c r="O290" i="25" s="1"/>
  <c r="L290" i="25"/>
  <c r="N306" i="25"/>
  <c r="O306" i="25" s="1"/>
  <c r="L306" i="25"/>
  <c r="L219" i="25"/>
  <c r="N219" i="25"/>
  <c r="O219" i="25" s="1"/>
  <c r="L235" i="25"/>
  <c r="N235" i="25"/>
  <c r="O235" i="25" s="1"/>
  <c r="L251" i="25"/>
  <c r="N251" i="25"/>
  <c r="O251" i="25" s="1"/>
  <c r="L267" i="25"/>
  <c r="N267" i="25"/>
  <c r="O267" i="25" s="1"/>
  <c r="N283" i="25"/>
  <c r="O283" i="25" s="1"/>
  <c r="L283" i="25"/>
  <c r="N299" i="25"/>
  <c r="O299" i="25" s="1"/>
  <c r="L299" i="25"/>
  <c r="N315" i="25"/>
  <c r="O315" i="25" s="1"/>
  <c r="L315" i="25"/>
  <c r="N232" i="25"/>
  <c r="O232" i="25" s="1"/>
  <c r="L232" i="25"/>
  <c r="N248" i="25"/>
  <c r="O248" i="25" s="1"/>
  <c r="L248" i="25"/>
  <c r="N264" i="25"/>
  <c r="O264" i="25" s="1"/>
  <c r="L264" i="25"/>
  <c r="N280" i="25"/>
  <c r="O280" i="25" s="1"/>
  <c r="L280" i="25"/>
  <c r="L296" i="25"/>
  <c r="N296" i="25"/>
  <c r="O296" i="25" s="1"/>
  <c r="N312" i="25"/>
  <c r="O312" i="25" s="1"/>
  <c r="L312" i="25"/>
  <c r="N225" i="25"/>
  <c r="O225" i="25" s="1"/>
  <c r="L225" i="25"/>
  <c r="N241" i="25"/>
  <c r="O241" i="25" s="1"/>
  <c r="L241" i="25"/>
  <c r="N257" i="25"/>
  <c r="O257" i="25" s="1"/>
  <c r="L257" i="25"/>
  <c r="N273" i="25"/>
  <c r="O273" i="25" s="1"/>
  <c r="L273" i="25"/>
  <c r="N289" i="25"/>
  <c r="O289" i="25" s="1"/>
  <c r="L289" i="25"/>
  <c r="L305" i="25"/>
  <c r="N305" i="25"/>
  <c r="O305" i="25" s="1"/>
  <c r="N270" i="25"/>
  <c r="O270" i="25" s="1"/>
  <c r="L270" i="25"/>
  <c r="L274" i="25"/>
  <c r="N274" i="25"/>
  <c r="O274" i="25" s="1"/>
  <c r="N278" i="25"/>
  <c r="O278" i="25" s="1"/>
  <c r="L278" i="25"/>
  <c r="N266" i="25"/>
  <c r="O266" i="25" s="1"/>
  <c r="L266" i="25"/>
  <c r="N294" i="25"/>
  <c r="O294" i="25" s="1"/>
  <c r="L294" i="25"/>
  <c r="L310" i="25"/>
  <c r="N310" i="25"/>
  <c r="O310" i="25" s="1"/>
  <c r="L223" i="25"/>
  <c r="N223" i="25"/>
  <c r="O223" i="25" s="1"/>
  <c r="L239" i="25"/>
  <c r="N239" i="25"/>
  <c r="O239" i="25" s="1"/>
  <c r="L255" i="25"/>
  <c r="N255" i="25"/>
  <c r="O255" i="25" s="1"/>
  <c r="L271" i="25"/>
  <c r="N271" i="25"/>
  <c r="O271" i="25" s="1"/>
  <c r="L287" i="25"/>
  <c r="N287" i="25"/>
  <c r="O287" i="25" s="1"/>
  <c r="L303" i="25"/>
  <c r="N303" i="25"/>
  <c r="O303" i="25" s="1"/>
  <c r="N220" i="25"/>
  <c r="O220" i="25" s="1"/>
  <c r="L220" i="25"/>
  <c r="N236" i="25"/>
  <c r="O236" i="25" s="1"/>
  <c r="L236" i="25"/>
  <c r="N252" i="25"/>
  <c r="O252" i="25" s="1"/>
  <c r="L252" i="25"/>
  <c r="N268" i="25"/>
  <c r="O268" i="25" s="1"/>
  <c r="L268" i="25"/>
  <c r="N284" i="25"/>
  <c r="O284" i="25" s="1"/>
  <c r="L284" i="25"/>
  <c r="L300" i="25"/>
  <c r="N300" i="25"/>
  <c r="O300" i="25" s="1"/>
  <c r="N316" i="25"/>
  <c r="O316" i="25" s="1"/>
  <c r="L316" i="25"/>
  <c r="N229" i="25"/>
  <c r="O229" i="25" s="1"/>
  <c r="L229" i="25"/>
  <c r="N245" i="25"/>
  <c r="O245" i="25" s="1"/>
  <c r="L245" i="25"/>
  <c r="N261" i="25"/>
  <c r="O261" i="25" s="1"/>
  <c r="L261" i="25"/>
  <c r="L277" i="25"/>
  <c r="N277" i="25"/>
  <c r="O277" i="25" s="1"/>
  <c r="N293" i="25"/>
  <c r="O293" i="25" s="1"/>
  <c r="L293" i="25"/>
  <c r="L309" i="25"/>
  <c r="N309" i="25"/>
  <c r="O309" i="25" s="1"/>
  <c r="L222" i="25"/>
  <c r="N222" i="25"/>
  <c r="O222" i="25" s="1"/>
  <c r="L226" i="25"/>
  <c r="N226" i="25"/>
  <c r="O226" i="25" s="1"/>
  <c r="L230" i="25"/>
  <c r="N230" i="25"/>
  <c r="O230" i="25" s="1"/>
  <c r="L218" i="25"/>
  <c r="N218" i="25"/>
  <c r="O218" i="25" s="1"/>
  <c r="N282" i="25"/>
  <c r="O282" i="25" s="1"/>
  <c r="L282" i="25"/>
  <c r="N298" i="25"/>
  <c r="O298" i="25" s="1"/>
  <c r="L298" i="25"/>
  <c r="N314" i="25"/>
  <c r="O314" i="25" s="1"/>
  <c r="L314" i="25"/>
  <c r="N227" i="25"/>
  <c r="O227" i="25" s="1"/>
  <c r="L227" i="25"/>
  <c r="L243" i="25"/>
  <c r="N243" i="25"/>
  <c r="O243" i="25" s="1"/>
  <c r="L259" i="25"/>
  <c r="N259" i="25"/>
  <c r="O259" i="25" s="1"/>
  <c r="N275" i="25"/>
  <c r="O275" i="25" s="1"/>
  <c r="L275" i="25"/>
  <c r="L291" i="25"/>
  <c r="N291" i="25"/>
  <c r="O291" i="25" s="1"/>
  <c r="N307" i="25"/>
  <c r="O307" i="25" s="1"/>
  <c r="L307" i="25"/>
  <c r="N224" i="25"/>
  <c r="O224" i="25" s="1"/>
  <c r="L224" i="25"/>
  <c r="L240" i="25"/>
  <c r="N240" i="25"/>
  <c r="O240" i="25" s="1"/>
  <c r="L256" i="25"/>
  <c r="N256" i="25"/>
  <c r="O256" i="25" s="1"/>
  <c r="N272" i="25"/>
  <c r="O272" i="25" s="1"/>
  <c r="L272" i="25"/>
  <c r="N288" i="25"/>
  <c r="O288" i="25" s="1"/>
  <c r="L288" i="25"/>
  <c r="L304" i="25"/>
  <c r="N304" i="25"/>
  <c r="O304" i="25" s="1"/>
  <c r="N217" i="25"/>
  <c r="O217" i="25" s="1"/>
  <c r="L217" i="25"/>
  <c r="N233" i="25"/>
  <c r="O233" i="25" s="1"/>
  <c r="L233" i="25"/>
  <c r="N249" i="25"/>
  <c r="O249" i="25" s="1"/>
  <c r="L249" i="25"/>
  <c r="N265" i="25"/>
  <c r="O265" i="25" s="1"/>
  <c r="L265" i="25"/>
  <c r="N281" i="25"/>
  <c r="O281" i="25" s="1"/>
  <c r="L281" i="25"/>
  <c r="N297" i="25"/>
  <c r="O297" i="25" s="1"/>
  <c r="L297" i="25"/>
  <c r="L313" i="25"/>
  <c r="N313" i="25"/>
  <c r="O313" i="25" s="1"/>
  <c r="F314" i="25"/>
  <c r="F310" i="25"/>
  <c r="F306" i="25"/>
  <c r="F304" i="25"/>
  <c r="F303" i="25"/>
  <c r="F302" i="25"/>
  <c r="F301" i="25"/>
  <c r="F315" i="25"/>
  <c r="F311" i="25"/>
  <c r="F307" i="25"/>
  <c r="F305" i="25"/>
  <c r="F300" i="25"/>
  <c r="F296" i="25"/>
  <c r="F292" i="25"/>
  <c r="F288" i="25"/>
  <c r="F284" i="25"/>
  <c r="F313" i="25"/>
  <c r="F312" i="25"/>
  <c r="F297" i="25"/>
  <c r="F293" i="25"/>
  <c r="F289" i="25"/>
  <c r="F285" i="25"/>
  <c r="F281" i="25"/>
  <c r="F279" i="25"/>
  <c r="F275" i="25"/>
  <c r="F271" i="25"/>
  <c r="F316" i="25"/>
  <c r="F309" i="25"/>
  <c r="F280" i="25"/>
  <c r="F276" i="25"/>
  <c r="F272" i="25"/>
  <c r="F294" i="25"/>
  <c r="F286" i="25"/>
  <c r="F265" i="25"/>
  <c r="F261" i="25"/>
  <c r="F257" i="25"/>
  <c r="F253" i="25"/>
  <c r="F249" i="25"/>
  <c r="F245" i="25"/>
  <c r="F241" i="25"/>
  <c r="F237" i="25"/>
  <c r="F233" i="25"/>
  <c r="F208" i="25"/>
  <c r="F204" i="25"/>
  <c r="F200" i="25"/>
  <c r="F299" i="25"/>
  <c r="F291" i="25"/>
  <c r="F283" i="25"/>
  <c r="F266" i="25"/>
  <c r="F262" i="25"/>
  <c r="F258" i="25"/>
  <c r="F254" i="25"/>
  <c r="F250" i="25"/>
  <c r="F246" i="25"/>
  <c r="F242" i="25"/>
  <c r="F238" i="25"/>
  <c r="F234" i="25"/>
  <c r="F207" i="25"/>
  <c r="F203" i="25"/>
  <c r="F308" i="25"/>
  <c r="F298" i="25"/>
  <c r="F282" i="25"/>
  <c r="F228" i="25"/>
  <c r="F224" i="25"/>
  <c r="F220" i="25"/>
  <c r="F210" i="25"/>
  <c r="F209" i="25"/>
  <c r="F206" i="25"/>
  <c r="F205" i="25"/>
  <c r="F202" i="25"/>
  <c r="F201" i="25"/>
  <c r="F199" i="25"/>
  <c r="F195" i="25"/>
  <c r="F191" i="25"/>
  <c r="F187" i="25"/>
  <c r="F183" i="25"/>
  <c r="F179" i="25"/>
  <c r="F175" i="25"/>
  <c r="F171" i="25"/>
  <c r="F167" i="25"/>
  <c r="F163" i="25"/>
  <c r="F159" i="25"/>
  <c r="F155" i="25"/>
  <c r="F151" i="25"/>
  <c r="F147" i="25"/>
  <c r="F143" i="25"/>
  <c r="F139" i="25"/>
  <c r="F135" i="25"/>
  <c r="F131" i="25"/>
  <c r="F287" i="25"/>
  <c r="F278" i="25"/>
  <c r="F274" i="25"/>
  <c r="F270" i="25"/>
  <c r="F268" i="25"/>
  <c r="F267" i="25"/>
  <c r="F264" i="25"/>
  <c r="F263" i="25"/>
  <c r="F260" i="25"/>
  <c r="F259" i="25"/>
  <c r="F256" i="25"/>
  <c r="F255" i="25"/>
  <c r="F252" i="25"/>
  <c r="F251" i="25"/>
  <c r="F248" i="25"/>
  <c r="F247" i="25"/>
  <c r="F244" i="25"/>
  <c r="F243" i="25"/>
  <c r="F240" i="25"/>
  <c r="F239" i="25"/>
  <c r="F236" i="25"/>
  <c r="F235" i="25"/>
  <c r="F232" i="25"/>
  <c r="F229" i="25"/>
  <c r="F225" i="25"/>
  <c r="F221" i="25"/>
  <c r="F217" i="25"/>
  <c r="F198" i="25"/>
  <c r="F194" i="25"/>
  <c r="F190" i="25"/>
  <c r="F186" i="25"/>
  <c r="F182" i="25"/>
  <c r="F178" i="25"/>
  <c r="F174" i="25"/>
  <c r="F170" i="25"/>
  <c r="F166" i="25"/>
  <c r="F162" i="25"/>
  <c r="F158" i="25"/>
  <c r="F154" i="25"/>
  <c r="F150" i="25"/>
  <c r="F146" i="25"/>
  <c r="F142" i="25"/>
  <c r="F138" i="25"/>
  <c r="F134" i="25"/>
  <c r="F130" i="25"/>
  <c r="F197" i="25"/>
  <c r="F196" i="25"/>
  <c r="F193" i="25"/>
  <c r="F192" i="25"/>
  <c r="F189" i="25"/>
  <c r="F188" i="25"/>
  <c r="F185" i="25"/>
  <c r="F184" i="25"/>
  <c r="F181" i="25"/>
  <c r="F180" i="25"/>
  <c r="F177" i="25"/>
  <c r="F176" i="25"/>
  <c r="F173" i="25"/>
  <c r="F172" i="25"/>
  <c r="F169" i="25"/>
  <c r="F168" i="25"/>
  <c r="F165" i="25"/>
  <c r="F164" i="25"/>
  <c r="F161" i="25"/>
  <c r="F160" i="25"/>
  <c r="F157" i="25"/>
  <c r="F156" i="25"/>
  <c r="F153" i="25"/>
  <c r="F152" i="25"/>
  <c r="F149" i="25"/>
  <c r="F148" i="25"/>
  <c r="F145" i="25"/>
  <c r="F144" i="25"/>
  <c r="F141" i="25"/>
  <c r="F140" i="25"/>
  <c r="F137" i="25"/>
  <c r="F136" i="25"/>
  <c r="F133" i="25"/>
  <c r="F132" i="25"/>
  <c r="F129" i="25"/>
  <c r="F128" i="25"/>
  <c r="F127" i="25"/>
  <c r="F123" i="25"/>
  <c r="F119" i="25"/>
  <c r="F115" i="25"/>
  <c r="F111" i="25"/>
  <c r="F105" i="25"/>
  <c r="BL105" i="25" s="1"/>
  <c r="F104" i="25"/>
  <c r="BL104" i="25" s="1"/>
  <c r="F103" i="25"/>
  <c r="BL103" i="25" s="1"/>
  <c r="F102" i="25"/>
  <c r="BL102" i="25" s="1"/>
  <c r="F101" i="25"/>
  <c r="BL101" i="25" s="1"/>
  <c r="F100" i="25"/>
  <c r="BL100" i="25" s="1"/>
  <c r="F99" i="25"/>
  <c r="BL99" i="25" s="1"/>
  <c r="F98" i="25"/>
  <c r="BL98" i="25" s="1"/>
  <c r="F97" i="25"/>
  <c r="BL97" i="25" s="1"/>
  <c r="F96" i="25"/>
  <c r="BL96" i="25" s="1"/>
  <c r="F95" i="25"/>
  <c r="BL95" i="25" s="1"/>
  <c r="F94" i="25"/>
  <c r="BL94" i="25" s="1"/>
  <c r="F93" i="25"/>
  <c r="BL93" i="25" s="1"/>
  <c r="F92" i="25"/>
  <c r="BL92" i="25" s="1"/>
  <c r="F91" i="25"/>
  <c r="BL91" i="25" s="1"/>
  <c r="F290" i="25"/>
  <c r="F277" i="25"/>
  <c r="F273" i="25"/>
  <c r="F269" i="25"/>
  <c r="F231" i="25"/>
  <c r="F230" i="25"/>
  <c r="F227" i="25"/>
  <c r="F226" i="25"/>
  <c r="F223" i="25"/>
  <c r="F222" i="25"/>
  <c r="F219" i="25"/>
  <c r="F218" i="25"/>
  <c r="F126" i="25"/>
  <c r="F122" i="25"/>
  <c r="F118" i="25"/>
  <c r="F114" i="25"/>
  <c r="F295" i="25"/>
  <c r="F87" i="25"/>
  <c r="BL87" i="25" s="1"/>
  <c r="F83" i="25"/>
  <c r="BL83" i="25" s="1"/>
  <c r="F79" i="25"/>
  <c r="BL79" i="25" s="1"/>
  <c r="F75" i="25"/>
  <c r="BL75" i="25" s="1"/>
  <c r="F71" i="25"/>
  <c r="BL71" i="25" s="1"/>
  <c r="F67" i="25"/>
  <c r="BL67" i="25" s="1"/>
  <c r="F63" i="25"/>
  <c r="BL63" i="25" s="1"/>
  <c r="F59" i="25"/>
  <c r="BL59" i="25" s="1"/>
  <c r="F55" i="25"/>
  <c r="BL55" i="25" s="1"/>
  <c r="F51" i="25"/>
  <c r="BL51" i="25" s="1"/>
  <c r="F47" i="25"/>
  <c r="BL47" i="25" s="1"/>
  <c r="F43" i="25"/>
  <c r="BL43" i="25" s="1"/>
  <c r="F39" i="25"/>
  <c r="BL39" i="25" s="1"/>
  <c r="F31" i="25"/>
  <c r="BL31" i="25" s="1"/>
  <c r="F27" i="25"/>
  <c r="BL27" i="25" s="1"/>
  <c r="F23" i="25"/>
  <c r="BL23" i="25" s="1"/>
  <c r="F19" i="25"/>
  <c r="BL19" i="25" s="1"/>
  <c r="F15" i="25"/>
  <c r="BL15" i="25" s="1"/>
  <c r="F125" i="25"/>
  <c r="F117" i="25"/>
  <c r="F113" i="25"/>
  <c r="F85" i="25"/>
  <c r="BL85" i="25" s="1"/>
  <c r="F77" i="25"/>
  <c r="BL77" i="25" s="1"/>
  <c r="F73" i="25"/>
  <c r="BL73" i="25" s="1"/>
  <c r="F65" i="25"/>
  <c r="BL65" i="25" s="1"/>
  <c r="F61" i="25"/>
  <c r="BL61" i="25" s="1"/>
  <c r="F57" i="25"/>
  <c r="BL57" i="25" s="1"/>
  <c r="F49" i="25"/>
  <c r="BL49" i="25" s="1"/>
  <c r="F33" i="25"/>
  <c r="BL33" i="25" s="1"/>
  <c r="F29" i="25"/>
  <c r="BL29" i="25" s="1"/>
  <c r="F25" i="25"/>
  <c r="BL25" i="25" s="1"/>
  <c r="F17" i="25"/>
  <c r="BL17" i="25" s="1"/>
  <c r="F13" i="25"/>
  <c r="BL13" i="25" s="1"/>
  <c r="F11" i="25"/>
  <c r="BL11" i="25" s="1"/>
  <c r="F10" i="25"/>
  <c r="BL10" i="25" s="1"/>
  <c r="F9" i="25"/>
  <c r="BL9" i="25" s="1"/>
  <c r="F8" i="25"/>
  <c r="BL8" i="25" s="1"/>
  <c r="F124" i="25"/>
  <c r="F120" i="25"/>
  <c r="F116" i="25"/>
  <c r="F112" i="25"/>
  <c r="F90" i="25"/>
  <c r="BL90" i="25" s="1"/>
  <c r="F86" i="25"/>
  <c r="BL86" i="25" s="1"/>
  <c r="F82" i="25"/>
  <c r="BL82" i="25" s="1"/>
  <c r="F78" i="25"/>
  <c r="BL78" i="25" s="1"/>
  <c r="F74" i="25"/>
  <c r="BL74" i="25" s="1"/>
  <c r="F70" i="25"/>
  <c r="BL70" i="25" s="1"/>
  <c r="F66" i="25"/>
  <c r="BL66" i="25" s="1"/>
  <c r="F62" i="25"/>
  <c r="BL62" i="25" s="1"/>
  <c r="F54" i="25"/>
  <c r="BL54" i="25" s="1"/>
  <c r="F88" i="25"/>
  <c r="BL88" i="25" s="1"/>
  <c r="F84" i="25"/>
  <c r="BL84" i="25" s="1"/>
  <c r="F80" i="25"/>
  <c r="BL80" i="25" s="1"/>
  <c r="F76" i="25"/>
  <c r="BL76" i="25" s="1"/>
  <c r="F72" i="25"/>
  <c r="BL72" i="25" s="1"/>
  <c r="F68" i="25"/>
  <c r="BL68" i="25" s="1"/>
  <c r="F64" i="25"/>
  <c r="BL64" i="25" s="1"/>
  <c r="F60" i="25"/>
  <c r="BL60" i="25" s="1"/>
  <c r="F56" i="25"/>
  <c r="BL56" i="25" s="1"/>
  <c r="F52" i="25"/>
  <c r="BL52" i="25" s="1"/>
  <c r="F48" i="25"/>
  <c r="BL48" i="25" s="1"/>
  <c r="F44" i="25"/>
  <c r="BL44" i="25" s="1"/>
  <c r="F40" i="25"/>
  <c r="BL40" i="25" s="1"/>
  <c r="F32" i="25"/>
  <c r="BL32" i="25" s="1"/>
  <c r="F28" i="25"/>
  <c r="BL28" i="25" s="1"/>
  <c r="F24" i="25"/>
  <c r="BL24" i="25" s="1"/>
  <c r="F20" i="25"/>
  <c r="BL20" i="25" s="1"/>
  <c r="F16" i="25"/>
  <c r="BL16" i="25" s="1"/>
  <c r="F12" i="25"/>
  <c r="BL12" i="25" s="1"/>
  <c r="F121" i="25"/>
  <c r="F89" i="25"/>
  <c r="BL89" i="25" s="1"/>
  <c r="F81" i="25"/>
  <c r="BL81" i="25" s="1"/>
  <c r="F69" i="25"/>
  <c r="BL69" i="25" s="1"/>
  <c r="F53" i="25"/>
  <c r="BL53" i="25" s="1"/>
  <c r="F45" i="25"/>
  <c r="BL45" i="25" s="1"/>
  <c r="F41" i="25"/>
  <c r="BL41" i="25" s="1"/>
  <c r="F21" i="25"/>
  <c r="BL21" i="25" s="1"/>
  <c r="F58" i="25"/>
  <c r="BL58" i="25" s="1"/>
  <c r="F50" i="25"/>
  <c r="BL50" i="25" s="1"/>
  <c r="F46" i="25"/>
  <c r="BL46" i="25" s="1"/>
  <c r="F42" i="25"/>
  <c r="BL42" i="25" s="1"/>
  <c r="F38" i="25"/>
  <c r="BL38" i="25" s="1"/>
  <c r="F37" i="25"/>
  <c r="BL37" i="25" s="1"/>
  <c r="F36" i="25"/>
  <c r="BL36" i="25" s="1"/>
  <c r="F35" i="25"/>
  <c r="BL35" i="25" s="1"/>
  <c r="F34" i="25"/>
  <c r="BL34" i="25" s="1"/>
  <c r="F30" i="25"/>
  <c r="BL30" i="25" s="1"/>
  <c r="F26" i="25"/>
  <c r="BL26" i="25" s="1"/>
  <c r="F22" i="25"/>
  <c r="BL22" i="25" s="1"/>
  <c r="F18" i="25"/>
  <c r="BL18" i="25" s="1"/>
  <c r="F14" i="25"/>
  <c r="BL14" i="25" s="1"/>
  <c r="B93" i="2"/>
  <c r="M180" i="24"/>
  <c r="N180" i="24" s="1"/>
  <c r="K128" i="24"/>
  <c r="K115" i="24"/>
  <c r="B34" i="2"/>
  <c r="B36" i="2" s="1"/>
  <c r="B22" i="2"/>
  <c r="M144" i="24"/>
  <c r="N144" i="24" s="1"/>
  <c r="M113" i="24"/>
  <c r="N113" i="24" s="1"/>
  <c r="K116" i="24"/>
  <c r="K179" i="24"/>
  <c r="M200" i="24"/>
  <c r="N200" i="24" s="1"/>
  <c r="M146" i="24"/>
  <c r="N146" i="24" s="1"/>
  <c r="K188" i="24"/>
  <c r="M193" i="24"/>
  <c r="N193" i="24" s="1"/>
  <c r="K161" i="24"/>
  <c r="M129" i="24"/>
  <c r="N129" i="24" s="1"/>
  <c r="M191" i="24"/>
  <c r="N191" i="24" s="1"/>
  <c r="K187" i="24"/>
  <c r="M126" i="24"/>
  <c r="N126" i="24" s="1"/>
  <c r="K167" i="24"/>
  <c r="M209" i="24"/>
  <c r="N209" i="24" s="1"/>
  <c r="K208" i="24"/>
  <c r="K210" i="24"/>
  <c r="M166" i="24"/>
  <c r="N166" i="24" s="1"/>
  <c r="M120" i="24"/>
  <c r="N120" i="24" s="1"/>
  <c r="K177" i="24"/>
  <c r="M158" i="24"/>
  <c r="N158" i="24" s="1"/>
  <c r="K170" i="24"/>
  <c r="K148" i="24"/>
  <c r="K145" i="24"/>
  <c r="M135" i="24"/>
  <c r="N135" i="24" s="1"/>
  <c r="F17" i="23"/>
  <c r="J17" i="23" s="1"/>
  <c r="M176" i="24"/>
  <c r="N176" i="24" s="1"/>
  <c r="M156" i="24"/>
  <c r="N156" i="24" s="1"/>
  <c r="M118" i="24"/>
  <c r="N118" i="24" s="1"/>
  <c r="K137" i="24"/>
  <c r="M132" i="24"/>
  <c r="N132" i="24" s="1"/>
  <c r="K136" i="24"/>
  <c r="K201" i="24"/>
  <c r="I33" i="23"/>
  <c r="M114" i="24"/>
  <c r="N114" i="24" s="1"/>
  <c r="K194" i="24"/>
  <c r="K206" i="24"/>
  <c r="K163" i="24"/>
  <c r="F54" i="23"/>
  <c r="J54" i="23" s="1"/>
  <c r="M130" i="24"/>
  <c r="N130" i="24" s="1"/>
  <c r="K192" i="24"/>
  <c r="K199" i="24"/>
  <c r="K196" i="24"/>
  <c r="M151" i="24"/>
  <c r="N151" i="24" s="1"/>
  <c r="K172" i="24"/>
  <c r="K123" i="24"/>
  <c r="M175" i="24"/>
  <c r="N175" i="24" s="1"/>
  <c r="K165" i="24"/>
  <c r="K181" i="24"/>
  <c r="K154" i="24"/>
  <c r="M117" i="24"/>
  <c r="N117" i="24" s="1"/>
  <c r="M124" i="24"/>
  <c r="N124" i="24" s="1"/>
  <c r="K142" i="24"/>
  <c r="I9" i="23"/>
  <c r="I70" i="23"/>
  <c r="M168" i="24"/>
  <c r="N168" i="24" s="1"/>
  <c r="M197" i="24"/>
  <c r="N197" i="24" s="1"/>
  <c r="K134" i="24"/>
  <c r="K182" i="24"/>
  <c r="F32" i="23"/>
  <c r="J32" i="23" s="1"/>
  <c r="F49" i="23"/>
  <c r="G49" i="23" s="1"/>
  <c r="H49" i="23" s="1"/>
  <c r="M153" i="24"/>
  <c r="N153" i="24" s="1"/>
  <c r="K131" i="24"/>
  <c r="M178" i="24"/>
  <c r="N178" i="24" s="1"/>
  <c r="K125" i="24"/>
  <c r="M202" i="24"/>
  <c r="N202" i="24" s="1"/>
  <c r="F103" i="23"/>
  <c r="G103" i="23" s="1"/>
  <c r="H103" i="23" s="1"/>
  <c r="F53" i="23"/>
  <c r="J53" i="23" s="1"/>
  <c r="K169" i="24"/>
  <c r="M198" i="24"/>
  <c r="N198" i="24" s="1"/>
  <c r="K150" i="24"/>
  <c r="K119" i="24"/>
  <c r="K110" i="24"/>
  <c r="K152" i="24"/>
  <c r="I16" i="23"/>
  <c r="F46" i="23"/>
  <c r="J46" i="23" s="1"/>
  <c r="I43" i="23"/>
  <c r="I36" i="23"/>
  <c r="F67" i="23"/>
  <c r="G67" i="23" s="1"/>
  <c r="H67" i="23" s="1"/>
  <c r="K155" i="24"/>
  <c r="K159" i="24"/>
  <c r="M127" i="24"/>
  <c r="N127" i="24" s="1"/>
  <c r="M121" i="24"/>
  <c r="N121" i="24" s="1"/>
  <c r="M147" i="24"/>
  <c r="N147" i="24" s="1"/>
  <c r="M190" i="24"/>
  <c r="N190" i="24" s="1"/>
  <c r="M173" i="24"/>
  <c r="N173" i="24" s="1"/>
  <c r="M164" i="24"/>
  <c r="N164" i="24" s="1"/>
  <c r="K162" i="24"/>
  <c r="I59" i="23"/>
  <c r="F30" i="23"/>
  <c r="J30" i="23" s="1"/>
  <c r="F88" i="23"/>
  <c r="G88" i="23" s="1"/>
  <c r="H88" i="23" s="1"/>
  <c r="I78" i="23"/>
  <c r="K122" i="24"/>
  <c r="M185" i="24"/>
  <c r="N185" i="24" s="1"/>
  <c r="M140" i="24"/>
  <c r="N140" i="24" s="1"/>
  <c r="M189" i="24"/>
  <c r="N189" i="24" s="1"/>
  <c r="I27" i="23"/>
  <c r="I75" i="23"/>
  <c r="F73" i="23"/>
  <c r="J73" i="23" s="1"/>
  <c r="F71" i="23"/>
  <c r="J71" i="23" s="1"/>
  <c r="I48" i="23"/>
  <c r="F84" i="23"/>
  <c r="G84" i="23" s="1"/>
  <c r="H84" i="23" s="1"/>
  <c r="F6" i="23"/>
  <c r="J6" i="23" s="1"/>
  <c r="F25" i="23"/>
  <c r="J25" i="23" s="1"/>
  <c r="I23" i="23"/>
  <c r="F60" i="23"/>
  <c r="G60" i="23" s="1"/>
  <c r="H60" i="23" s="1"/>
  <c r="I38" i="23"/>
  <c r="I62" i="23"/>
  <c r="K149" i="24"/>
  <c r="M111" i="24"/>
  <c r="N111" i="24" s="1"/>
  <c r="M138" i="24"/>
  <c r="N138" i="24" s="1"/>
  <c r="K112" i="24"/>
  <c r="K207" i="24"/>
  <c r="M171" i="24"/>
  <c r="N171" i="24" s="1"/>
  <c r="K157" i="24"/>
  <c r="M184" i="24"/>
  <c r="N184" i="24" s="1"/>
  <c r="K203" i="24"/>
  <c r="M133" i="24"/>
  <c r="N133" i="24" s="1"/>
  <c r="M143" i="24"/>
  <c r="N143" i="24" s="1"/>
  <c r="F105" i="23"/>
  <c r="J105" i="23" s="1"/>
  <c r="F94" i="23"/>
  <c r="J94" i="23" s="1"/>
  <c r="I41" i="23"/>
  <c r="F92" i="23"/>
  <c r="J92" i="23" s="1"/>
  <c r="M204" i="24"/>
  <c r="N204" i="24" s="1"/>
  <c r="M139" i="24"/>
  <c r="N139" i="24" s="1"/>
  <c r="M174" i="24"/>
  <c r="N174" i="24" s="1"/>
  <c r="M160" i="24"/>
  <c r="N160" i="24" s="1"/>
  <c r="K205" i="24"/>
  <c r="M195" i="24"/>
  <c r="N195" i="24" s="1"/>
  <c r="M141" i="24"/>
  <c r="N141" i="24" s="1"/>
  <c r="A226" i="2"/>
  <c r="C226" i="2"/>
  <c r="I11" i="23"/>
  <c r="F101" i="23"/>
  <c r="J101" i="23" s="1"/>
  <c r="F20" i="23"/>
  <c r="G20" i="23" s="1"/>
  <c r="H20" i="23" s="1"/>
  <c r="F81" i="23"/>
  <c r="J81" i="23" s="1"/>
  <c r="F14" i="23"/>
  <c r="J14" i="23" s="1"/>
  <c r="F22" i="23"/>
  <c r="J22" i="23" s="1"/>
  <c r="F63" i="23"/>
  <c r="G63" i="23" s="1"/>
  <c r="H63" i="23" s="1"/>
  <c r="K186" i="24"/>
  <c r="K183" i="24"/>
  <c r="F219" i="24"/>
  <c r="F223" i="24"/>
  <c r="F227" i="24"/>
  <c r="F231" i="24"/>
  <c r="F235" i="24"/>
  <c r="F239" i="24"/>
  <c r="F243" i="24"/>
  <c r="F247" i="24"/>
  <c r="F251" i="24"/>
  <c r="F255" i="24"/>
  <c r="F259" i="24"/>
  <c r="F263" i="24"/>
  <c r="F267" i="24"/>
  <c r="F271" i="24"/>
  <c r="F275" i="24"/>
  <c r="F279" i="24"/>
  <c r="F283" i="24"/>
  <c r="F287" i="24"/>
  <c r="F291" i="24"/>
  <c r="F295" i="24"/>
  <c r="F299" i="24"/>
  <c r="F303" i="24"/>
  <c r="F307" i="24"/>
  <c r="F311" i="24"/>
  <c r="F315" i="24"/>
  <c r="F132" i="24"/>
  <c r="F136" i="24"/>
  <c r="F140" i="24"/>
  <c r="F144" i="24"/>
  <c r="F148" i="24"/>
  <c r="F152" i="24"/>
  <c r="F156" i="24"/>
  <c r="F160" i="24"/>
  <c r="F164" i="24"/>
  <c r="F168" i="24"/>
  <c r="F172" i="24"/>
  <c r="F176" i="24"/>
  <c r="F180" i="24"/>
  <c r="F184" i="24"/>
  <c r="F188" i="24"/>
  <c r="F192" i="24"/>
  <c r="F196" i="24"/>
  <c r="F200" i="24"/>
  <c r="F204" i="24"/>
  <c r="F208" i="24"/>
  <c r="F114" i="24"/>
  <c r="F118" i="24"/>
  <c r="F122" i="24"/>
  <c r="F126" i="24"/>
  <c r="F130" i="24"/>
  <c r="F157" i="24"/>
  <c r="F161" i="24"/>
  <c r="F169" i="24"/>
  <c r="F177" i="24"/>
  <c r="F181" i="24"/>
  <c r="F189" i="24"/>
  <c r="F193" i="24"/>
  <c r="F201" i="24"/>
  <c r="F205" i="24"/>
  <c r="F115" i="24"/>
  <c r="F119" i="24"/>
  <c r="F127" i="24"/>
  <c r="F112" i="24"/>
  <c r="F194" i="24"/>
  <c r="F206" i="24"/>
  <c r="F210" i="24"/>
  <c r="F124" i="24"/>
  <c r="F128" i="24"/>
  <c r="F222" i="24"/>
  <c r="F234" i="24"/>
  <c r="F246" i="24"/>
  <c r="F258" i="24"/>
  <c r="F270" i="24"/>
  <c r="F274" i="24"/>
  <c r="F286" i="24"/>
  <c r="F298" i="24"/>
  <c r="F302" i="24"/>
  <c r="F314" i="24"/>
  <c r="F217" i="24"/>
  <c r="F135" i="24"/>
  <c r="F143" i="24"/>
  <c r="F151" i="24"/>
  <c r="F159" i="24"/>
  <c r="F171" i="24"/>
  <c r="F175" i="24"/>
  <c r="F220" i="24"/>
  <c r="F224" i="24"/>
  <c r="F228" i="24"/>
  <c r="F232" i="24"/>
  <c r="F236" i="24"/>
  <c r="F240" i="24"/>
  <c r="F244" i="24"/>
  <c r="F248" i="24"/>
  <c r="F252" i="24"/>
  <c r="F256" i="24"/>
  <c r="F260" i="24"/>
  <c r="F264" i="24"/>
  <c r="F268" i="24"/>
  <c r="F272" i="24"/>
  <c r="F276" i="24"/>
  <c r="F280" i="24"/>
  <c r="F284" i="24"/>
  <c r="F288" i="24"/>
  <c r="F292" i="24"/>
  <c r="F296" i="24"/>
  <c r="F300" i="24"/>
  <c r="F304" i="24"/>
  <c r="F308" i="24"/>
  <c r="F312" i="24"/>
  <c r="F316" i="24"/>
  <c r="F133" i="24"/>
  <c r="F137" i="24"/>
  <c r="F141" i="24"/>
  <c r="F145" i="24"/>
  <c r="F149" i="24"/>
  <c r="F153" i="24"/>
  <c r="F165" i="24"/>
  <c r="F173" i="24"/>
  <c r="F185" i="24"/>
  <c r="F197" i="24"/>
  <c r="F209" i="24"/>
  <c r="F123" i="24"/>
  <c r="F190" i="24"/>
  <c r="F198" i="24"/>
  <c r="F116" i="24"/>
  <c r="F230" i="24"/>
  <c r="F238" i="24"/>
  <c r="F254" i="24"/>
  <c r="F266" i="24"/>
  <c r="F278" i="24"/>
  <c r="F290" i="24"/>
  <c r="F306" i="24"/>
  <c r="F139" i="24"/>
  <c r="F155" i="24"/>
  <c r="F167" i="24"/>
  <c r="F183" i="24"/>
  <c r="F221" i="24"/>
  <c r="F225" i="24"/>
  <c r="F229" i="24"/>
  <c r="F233" i="24"/>
  <c r="F237" i="24"/>
  <c r="F241" i="24"/>
  <c r="F245" i="24"/>
  <c r="F249" i="24"/>
  <c r="F253" i="24"/>
  <c r="F257" i="24"/>
  <c r="F261" i="24"/>
  <c r="F265" i="24"/>
  <c r="F269" i="24"/>
  <c r="F273" i="24"/>
  <c r="F277" i="24"/>
  <c r="F281" i="24"/>
  <c r="F285" i="24"/>
  <c r="F289" i="24"/>
  <c r="F293" i="24"/>
  <c r="F297" i="24"/>
  <c r="F301" i="24"/>
  <c r="F305" i="24"/>
  <c r="F309" i="24"/>
  <c r="F313" i="24"/>
  <c r="F218" i="24"/>
  <c r="F134" i="24"/>
  <c r="F138" i="24"/>
  <c r="F142" i="24"/>
  <c r="F146" i="24"/>
  <c r="F150" i="24"/>
  <c r="F154" i="24"/>
  <c r="F158" i="24"/>
  <c r="F162" i="24"/>
  <c r="F166" i="24"/>
  <c r="F170" i="24"/>
  <c r="F174" i="24"/>
  <c r="F178" i="24"/>
  <c r="F182" i="24"/>
  <c r="F186" i="24"/>
  <c r="F202" i="24"/>
  <c r="F120" i="24"/>
  <c r="F111" i="24"/>
  <c r="F226" i="24"/>
  <c r="F242" i="24"/>
  <c r="F250" i="24"/>
  <c r="F262" i="24"/>
  <c r="F282" i="24"/>
  <c r="F294" i="24"/>
  <c r="F310" i="24"/>
  <c r="F131" i="24"/>
  <c r="F147" i="24"/>
  <c r="F163" i="24"/>
  <c r="F179" i="24"/>
  <c r="F191" i="24"/>
  <c r="F207" i="24"/>
  <c r="F125" i="24"/>
  <c r="F129" i="24"/>
  <c r="F121" i="24"/>
  <c r="F195" i="24"/>
  <c r="F113" i="24"/>
  <c r="F203" i="24"/>
  <c r="F199" i="24"/>
  <c r="F117" i="24"/>
  <c r="F187" i="24"/>
  <c r="I99" i="23"/>
  <c r="F80" i="23"/>
  <c r="J80" i="23" s="1"/>
  <c r="I31" i="23"/>
  <c r="I96" i="23"/>
  <c r="F77" i="23"/>
  <c r="G77" i="23" s="1"/>
  <c r="H77" i="23" s="1"/>
  <c r="I56" i="23"/>
  <c r="I86" i="23"/>
  <c r="K312" i="24"/>
  <c r="M312" i="24"/>
  <c r="N312" i="24" s="1"/>
  <c r="K276" i="24"/>
  <c r="M276" i="24"/>
  <c r="N276" i="24" s="1"/>
  <c r="K244" i="24"/>
  <c r="M244" i="24"/>
  <c r="N244" i="24" s="1"/>
  <c r="M315" i="24"/>
  <c r="N315" i="24" s="1"/>
  <c r="K315" i="24"/>
  <c r="M279" i="24"/>
  <c r="N279" i="24" s="1"/>
  <c r="Q279" i="24" s="1"/>
  <c r="K279" i="24"/>
  <c r="K247" i="24"/>
  <c r="M247" i="24"/>
  <c r="N247" i="24" s="1"/>
  <c r="M223" i="24"/>
  <c r="N223" i="24" s="1"/>
  <c r="K223" i="24"/>
  <c r="K302" i="24"/>
  <c r="M302" i="24"/>
  <c r="N302" i="24" s="1"/>
  <c r="K286" i="24"/>
  <c r="M286" i="24"/>
  <c r="N286" i="24" s="1"/>
  <c r="M270" i="24"/>
  <c r="N270" i="24" s="1"/>
  <c r="K270" i="24"/>
  <c r="M254" i="24"/>
  <c r="N254" i="24" s="1"/>
  <c r="K254" i="24"/>
  <c r="M238" i="24"/>
  <c r="N238" i="24" s="1"/>
  <c r="K238" i="24"/>
  <c r="K222" i="24"/>
  <c r="M222" i="24"/>
  <c r="N222" i="24" s="1"/>
  <c r="K296" i="24"/>
  <c r="M296" i="24"/>
  <c r="N296" i="24" s="1"/>
  <c r="M264" i="24"/>
  <c r="N264" i="24" s="1"/>
  <c r="K264" i="24"/>
  <c r="M232" i="24"/>
  <c r="N232" i="24" s="1"/>
  <c r="K232" i="24"/>
  <c r="M299" i="24"/>
  <c r="N299" i="24" s="1"/>
  <c r="K299" i="24"/>
  <c r="M267" i="24"/>
  <c r="N267" i="24" s="1"/>
  <c r="K267" i="24"/>
  <c r="K235" i="24"/>
  <c r="M235" i="24"/>
  <c r="N235" i="24" s="1"/>
  <c r="Q235" i="24" s="1"/>
  <c r="K309" i="24"/>
  <c r="M309" i="24"/>
  <c r="N309" i="24" s="1"/>
  <c r="Q309" i="24" s="1"/>
  <c r="K293" i="24"/>
  <c r="M293" i="24"/>
  <c r="N293" i="24" s="1"/>
  <c r="K277" i="24"/>
  <c r="M277" i="24"/>
  <c r="N277" i="24" s="1"/>
  <c r="M261" i="24"/>
  <c r="N261" i="24" s="1"/>
  <c r="K261" i="24"/>
  <c r="M245" i="24"/>
  <c r="N245" i="24" s="1"/>
  <c r="K245" i="24"/>
  <c r="M229" i="24"/>
  <c r="N229" i="24" s="1"/>
  <c r="K229" i="24"/>
  <c r="M304" i="24"/>
  <c r="N304" i="24" s="1"/>
  <c r="K304" i="24"/>
  <c r="K268" i="24"/>
  <c r="M268" i="24"/>
  <c r="N268" i="24" s="1"/>
  <c r="K236" i="24"/>
  <c r="M236" i="24"/>
  <c r="N236" i="24" s="1"/>
  <c r="M307" i="24"/>
  <c r="N307" i="24" s="1"/>
  <c r="K307" i="24"/>
  <c r="K271" i="24"/>
  <c r="M271" i="24"/>
  <c r="N271" i="24" s="1"/>
  <c r="M239" i="24"/>
  <c r="N239" i="24" s="1"/>
  <c r="K239" i="24"/>
  <c r="K314" i="24"/>
  <c r="M314" i="24"/>
  <c r="N314" i="24" s="1"/>
  <c r="K298" i="24"/>
  <c r="M298" i="24"/>
  <c r="N298" i="24" s="1"/>
  <c r="K282" i="24"/>
  <c r="M282" i="24"/>
  <c r="N282" i="24" s="1"/>
  <c r="M266" i="24"/>
  <c r="N266" i="24" s="1"/>
  <c r="K266" i="24"/>
  <c r="K250" i="24"/>
  <c r="M250" i="24"/>
  <c r="N250" i="24" s="1"/>
  <c r="K234" i="24"/>
  <c r="M234" i="24"/>
  <c r="N234" i="24" s="1"/>
  <c r="M218" i="24"/>
  <c r="N218" i="24" s="1"/>
  <c r="K218" i="24"/>
  <c r="M288" i="24"/>
  <c r="N288" i="24" s="1"/>
  <c r="K288" i="24"/>
  <c r="K256" i="24"/>
  <c r="M256" i="24"/>
  <c r="N256" i="24" s="1"/>
  <c r="Q256" i="24" s="1"/>
  <c r="K224" i="24"/>
  <c r="M224" i="24"/>
  <c r="N224" i="24" s="1"/>
  <c r="K291" i="24"/>
  <c r="M291" i="24"/>
  <c r="N291" i="24" s="1"/>
  <c r="Q291" i="24" s="1"/>
  <c r="M259" i="24"/>
  <c r="N259" i="24" s="1"/>
  <c r="K259" i="24"/>
  <c r="K219" i="24"/>
  <c r="M219" i="24"/>
  <c r="N219" i="24" s="1"/>
  <c r="K305" i="24"/>
  <c r="M305" i="24"/>
  <c r="N305" i="24" s="1"/>
  <c r="M289" i="24"/>
  <c r="N289" i="24" s="1"/>
  <c r="Q289" i="24" s="1"/>
  <c r="K289" i="24"/>
  <c r="K273" i="24"/>
  <c r="M273" i="24"/>
  <c r="N273" i="24" s="1"/>
  <c r="M257" i="24"/>
  <c r="N257" i="24" s="1"/>
  <c r="K257" i="24"/>
  <c r="M241" i="24"/>
  <c r="N241" i="24" s="1"/>
  <c r="K241" i="24"/>
  <c r="M225" i="24"/>
  <c r="N225" i="24" s="1"/>
  <c r="Q225" i="24" s="1"/>
  <c r="K225" i="24"/>
  <c r="M292" i="24"/>
  <c r="N292" i="24" s="1"/>
  <c r="K292" i="24"/>
  <c r="M260" i="24"/>
  <c r="N260" i="24" s="1"/>
  <c r="K260" i="24"/>
  <c r="M228" i="24"/>
  <c r="N228" i="24" s="1"/>
  <c r="Q228" i="24" s="1"/>
  <c r="K228" i="24"/>
  <c r="M295" i="24"/>
  <c r="N295" i="24" s="1"/>
  <c r="K295" i="24"/>
  <c r="M263" i="24"/>
  <c r="N263" i="24" s="1"/>
  <c r="Q263" i="24" s="1"/>
  <c r="K263" i="24"/>
  <c r="K231" i="24"/>
  <c r="M231" i="24"/>
  <c r="N231" i="24" s="1"/>
  <c r="K310" i="24"/>
  <c r="M310" i="24"/>
  <c r="N310" i="24" s="1"/>
  <c r="Q310" i="24" s="1"/>
  <c r="K294" i="24"/>
  <c r="M294" i="24"/>
  <c r="N294" i="24" s="1"/>
  <c r="M278" i="24"/>
  <c r="N278" i="24" s="1"/>
  <c r="K278" i="24"/>
  <c r="K262" i="24"/>
  <c r="M262" i="24"/>
  <c r="N262" i="24" s="1"/>
  <c r="K246" i="24"/>
  <c r="M246" i="24"/>
  <c r="N246" i="24" s="1"/>
  <c r="M230" i="24"/>
  <c r="N230" i="24" s="1"/>
  <c r="K230" i="24"/>
  <c r="K308" i="24"/>
  <c r="M308" i="24"/>
  <c r="N308" i="24" s="1"/>
  <c r="M280" i="24"/>
  <c r="N280" i="24" s="1"/>
  <c r="K280" i="24"/>
  <c r="K248" i="24"/>
  <c r="M248" i="24"/>
  <c r="N248" i="24" s="1"/>
  <c r="K311" i="24"/>
  <c r="M311" i="24"/>
  <c r="N311" i="24" s="1"/>
  <c r="K283" i="24"/>
  <c r="M283" i="24"/>
  <c r="N283" i="24" s="1"/>
  <c r="Q283" i="24" s="1"/>
  <c r="K251" i="24"/>
  <c r="M251" i="24"/>
  <c r="N251" i="24" s="1"/>
  <c r="K216" i="24"/>
  <c r="M216" i="24"/>
  <c r="K301" i="24"/>
  <c r="M301" i="24"/>
  <c r="N301" i="24" s="1"/>
  <c r="M285" i="24"/>
  <c r="N285" i="24" s="1"/>
  <c r="K285" i="24"/>
  <c r="K269" i="24"/>
  <c r="M269" i="24"/>
  <c r="N269" i="24" s="1"/>
  <c r="M253" i="24"/>
  <c r="N253" i="24" s="1"/>
  <c r="K253" i="24"/>
  <c r="K237" i="24"/>
  <c r="M237" i="24"/>
  <c r="N237" i="24" s="1"/>
  <c r="M221" i="24"/>
  <c r="N221" i="24" s="1"/>
  <c r="K221" i="24"/>
  <c r="I98" i="23"/>
  <c r="K316" i="24"/>
  <c r="M316" i="24"/>
  <c r="N316" i="24" s="1"/>
  <c r="K284" i="24"/>
  <c r="M284" i="24"/>
  <c r="N284" i="24" s="1"/>
  <c r="M252" i="24"/>
  <c r="N252" i="24" s="1"/>
  <c r="K252" i="24"/>
  <c r="M220" i="24"/>
  <c r="N220" i="24" s="1"/>
  <c r="K220" i="24"/>
  <c r="M287" i="24"/>
  <c r="N287" i="24" s="1"/>
  <c r="K287" i="24"/>
  <c r="K255" i="24"/>
  <c r="M255" i="24"/>
  <c r="N255" i="24" s="1"/>
  <c r="Q255" i="24" s="1"/>
  <c r="K227" i="24"/>
  <c r="M227" i="24"/>
  <c r="N227" i="24" s="1"/>
  <c r="K306" i="24"/>
  <c r="M306" i="24"/>
  <c r="N306" i="24" s="1"/>
  <c r="M290" i="24"/>
  <c r="N290" i="24" s="1"/>
  <c r="K290" i="24"/>
  <c r="K274" i="24"/>
  <c r="M274" i="24"/>
  <c r="N274" i="24" s="1"/>
  <c r="Q274" i="24" s="1"/>
  <c r="M258" i="24"/>
  <c r="N258" i="24" s="1"/>
  <c r="K258" i="24"/>
  <c r="M242" i="24"/>
  <c r="N242" i="24" s="1"/>
  <c r="K242" i="24"/>
  <c r="M226" i="24"/>
  <c r="N226" i="24" s="1"/>
  <c r="K226" i="24"/>
  <c r="K300" i="24"/>
  <c r="M300" i="24"/>
  <c r="N300" i="24" s="1"/>
  <c r="Q300" i="24" s="1"/>
  <c r="M272" i="24"/>
  <c r="N272" i="24" s="1"/>
  <c r="Q272" i="24" s="1"/>
  <c r="K272" i="24"/>
  <c r="K240" i="24"/>
  <c r="M240" i="24"/>
  <c r="N240" i="24" s="1"/>
  <c r="K303" i="24"/>
  <c r="M303" i="24"/>
  <c r="N303" i="24" s="1"/>
  <c r="K275" i="24"/>
  <c r="M275" i="24"/>
  <c r="N275" i="24" s="1"/>
  <c r="M243" i="24"/>
  <c r="N243" i="24" s="1"/>
  <c r="K243" i="24"/>
  <c r="K313" i="24"/>
  <c r="M313" i="24"/>
  <c r="N313" i="24" s="1"/>
  <c r="M297" i="24"/>
  <c r="N297" i="24" s="1"/>
  <c r="K297" i="24"/>
  <c r="M281" i="24"/>
  <c r="N281" i="24" s="1"/>
  <c r="K281" i="24"/>
  <c r="K265" i="24"/>
  <c r="M265" i="24"/>
  <c r="N265" i="24" s="1"/>
  <c r="Q265" i="24" s="1"/>
  <c r="K249" i="24"/>
  <c r="M249" i="24"/>
  <c r="N249" i="24" s="1"/>
  <c r="K233" i="24"/>
  <c r="M233" i="24"/>
  <c r="N233" i="24" s="1"/>
  <c r="K217" i="24"/>
  <c r="M217" i="24"/>
  <c r="N217" i="24" s="1"/>
  <c r="H109" i="19"/>
  <c r="H110" i="19" s="1"/>
  <c r="F6" i="24"/>
  <c r="BN6" i="24" s="1"/>
  <c r="F10" i="24"/>
  <c r="BN10" i="24" s="1"/>
  <c r="F14" i="24"/>
  <c r="BN14" i="24" s="1"/>
  <c r="F18" i="24"/>
  <c r="BN18" i="24" s="1"/>
  <c r="F22" i="24"/>
  <c r="BN22" i="24" s="1"/>
  <c r="F26" i="24"/>
  <c r="BN26" i="24" s="1"/>
  <c r="F30" i="24"/>
  <c r="BN30" i="24" s="1"/>
  <c r="F34" i="24"/>
  <c r="BN34" i="24" s="1"/>
  <c r="F38" i="24"/>
  <c r="BN38" i="24" s="1"/>
  <c r="F42" i="24"/>
  <c r="BN42" i="24" s="1"/>
  <c r="F46" i="24"/>
  <c r="BN46" i="24" s="1"/>
  <c r="F50" i="24"/>
  <c r="BN50" i="24" s="1"/>
  <c r="F54" i="24"/>
  <c r="BN54" i="24" s="1"/>
  <c r="F58" i="24"/>
  <c r="BN58" i="24" s="1"/>
  <c r="F62" i="24"/>
  <c r="BN62" i="24" s="1"/>
  <c r="F66" i="24"/>
  <c r="BN66" i="24" s="1"/>
  <c r="F70" i="24"/>
  <c r="BN70" i="24" s="1"/>
  <c r="F74" i="24"/>
  <c r="BN74" i="24" s="1"/>
  <c r="F78" i="24"/>
  <c r="BN78" i="24" s="1"/>
  <c r="F82" i="24"/>
  <c r="BN82" i="24" s="1"/>
  <c r="F86" i="24"/>
  <c r="BN86" i="24" s="1"/>
  <c r="F90" i="24"/>
  <c r="BN90" i="24" s="1"/>
  <c r="F94" i="24"/>
  <c r="BN94" i="24" s="1"/>
  <c r="F98" i="24"/>
  <c r="BN98" i="24" s="1"/>
  <c r="F102" i="24"/>
  <c r="BN102" i="24" s="1"/>
  <c r="F41" i="24"/>
  <c r="BN41" i="24" s="1"/>
  <c r="F53" i="24"/>
  <c r="BN53" i="24" s="1"/>
  <c r="F69" i="24"/>
  <c r="BN69" i="24" s="1"/>
  <c r="F81" i="24"/>
  <c r="BN81" i="24" s="1"/>
  <c r="F93" i="24"/>
  <c r="BN93" i="24" s="1"/>
  <c r="F7" i="24"/>
  <c r="BN7" i="24" s="1"/>
  <c r="F11" i="24"/>
  <c r="BN11" i="24" s="1"/>
  <c r="F15" i="24"/>
  <c r="BN15" i="24" s="1"/>
  <c r="F19" i="24"/>
  <c r="BN19" i="24" s="1"/>
  <c r="F23" i="24"/>
  <c r="BN23" i="24" s="1"/>
  <c r="F27" i="24"/>
  <c r="BN27" i="24" s="1"/>
  <c r="F31" i="24"/>
  <c r="BN31" i="24" s="1"/>
  <c r="F35" i="24"/>
  <c r="BN35" i="24" s="1"/>
  <c r="F39" i="24"/>
  <c r="BN39" i="24" s="1"/>
  <c r="F43" i="24"/>
  <c r="BN43" i="24" s="1"/>
  <c r="F47" i="24"/>
  <c r="BN47" i="24" s="1"/>
  <c r="F51" i="24"/>
  <c r="BN51" i="24" s="1"/>
  <c r="F55" i="24"/>
  <c r="BN55" i="24" s="1"/>
  <c r="F59" i="24"/>
  <c r="BN59" i="24" s="1"/>
  <c r="F63" i="24"/>
  <c r="BN63" i="24" s="1"/>
  <c r="F67" i="24"/>
  <c r="BN67" i="24" s="1"/>
  <c r="F71" i="24"/>
  <c r="BN71" i="24" s="1"/>
  <c r="F75" i="24"/>
  <c r="BN75" i="24" s="1"/>
  <c r="F79" i="24"/>
  <c r="BN79" i="24" s="1"/>
  <c r="F83" i="24"/>
  <c r="BN83" i="24" s="1"/>
  <c r="F87" i="24"/>
  <c r="BN87" i="24" s="1"/>
  <c r="F91" i="24"/>
  <c r="BN91" i="24" s="1"/>
  <c r="F95" i="24"/>
  <c r="BN95" i="24" s="1"/>
  <c r="F99" i="24"/>
  <c r="BN99" i="24" s="1"/>
  <c r="F103" i="24"/>
  <c r="BN103" i="24" s="1"/>
  <c r="F37" i="24"/>
  <c r="BN37" i="24" s="1"/>
  <c r="F61" i="24"/>
  <c r="BN61" i="24" s="1"/>
  <c r="F73" i="24"/>
  <c r="BN73" i="24" s="1"/>
  <c r="F89" i="24"/>
  <c r="BN89" i="24" s="1"/>
  <c r="F101" i="24"/>
  <c r="BN101" i="24" s="1"/>
  <c r="F8" i="24"/>
  <c r="BN8" i="24" s="1"/>
  <c r="F12" i="24"/>
  <c r="BN12" i="24" s="1"/>
  <c r="F16" i="24"/>
  <c r="BN16" i="24" s="1"/>
  <c r="F20" i="24"/>
  <c r="BN20" i="24" s="1"/>
  <c r="F24" i="24"/>
  <c r="BN24" i="24" s="1"/>
  <c r="F28" i="24"/>
  <c r="BN28" i="24" s="1"/>
  <c r="F32" i="24"/>
  <c r="BN32" i="24" s="1"/>
  <c r="F36" i="24"/>
  <c r="BN36" i="24" s="1"/>
  <c r="F40" i="24"/>
  <c r="BN40" i="24" s="1"/>
  <c r="F44" i="24"/>
  <c r="BN44" i="24" s="1"/>
  <c r="F48" i="24"/>
  <c r="BN48" i="24" s="1"/>
  <c r="F52" i="24"/>
  <c r="BN52" i="24" s="1"/>
  <c r="F56" i="24"/>
  <c r="BN56" i="24" s="1"/>
  <c r="F60" i="24"/>
  <c r="BN60" i="24" s="1"/>
  <c r="F64" i="24"/>
  <c r="BN64" i="24" s="1"/>
  <c r="F68" i="24"/>
  <c r="BN68" i="24" s="1"/>
  <c r="F72" i="24"/>
  <c r="BN72" i="24" s="1"/>
  <c r="F76" i="24"/>
  <c r="BN76" i="24" s="1"/>
  <c r="F80" i="24"/>
  <c r="BN80" i="24" s="1"/>
  <c r="F84" i="24"/>
  <c r="BN84" i="24" s="1"/>
  <c r="F88" i="24"/>
  <c r="BN88" i="24" s="1"/>
  <c r="F92" i="24"/>
  <c r="BN92" i="24" s="1"/>
  <c r="F96" i="24"/>
  <c r="BN96" i="24" s="1"/>
  <c r="F100" i="24"/>
  <c r="BN100" i="24" s="1"/>
  <c r="F104" i="24"/>
  <c r="BN104" i="24" s="1"/>
  <c r="F9" i="24"/>
  <c r="BN9" i="24" s="1"/>
  <c r="F13" i="24"/>
  <c r="BN13" i="24" s="1"/>
  <c r="F17" i="24"/>
  <c r="BN17" i="24" s="1"/>
  <c r="F21" i="24"/>
  <c r="BN21" i="24" s="1"/>
  <c r="F25" i="24"/>
  <c r="BN25" i="24" s="1"/>
  <c r="F29" i="24"/>
  <c r="BN29" i="24" s="1"/>
  <c r="F33" i="24"/>
  <c r="BN33" i="24" s="1"/>
  <c r="F45" i="24"/>
  <c r="BN45" i="24" s="1"/>
  <c r="F49" i="24"/>
  <c r="BN49" i="24" s="1"/>
  <c r="F57" i="24"/>
  <c r="BN57" i="24" s="1"/>
  <c r="F65" i="24"/>
  <c r="BN65" i="24" s="1"/>
  <c r="F77" i="24"/>
  <c r="BN77" i="24" s="1"/>
  <c r="F85" i="24"/>
  <c r="BN85" i="24" s="1"/>
  <c r="F97" i="24"/>
  <c r="BN97" i="24" s="1"/>
  <c r="F105" i="24"/>
  <c r="BN105" i="24" s="1"/>
  <c r="F52" i="23"/>
  <c r="J52" i="23" s="1"/>
  <c r="F102" i="23"/>
  <c r="J102" i="23" s="1"/>
  <c r="J79" i="23"/>
  <c r="J7" i="23"/>
  <c r="J106" i="23"/>
  <c r="I87" i="23"/>
  <c r="I8" i="23"/>
  <c r="I106" i="23"/>
  <c r="J31" i="23"/>
  <c r="J99" i="23"/>
  <c r="J56" i="23"/>
  <c r="J27" i="23"/>
  <c r="J96" i="23"/>
  <c r="J86" i="23"/>
  <c r="J70" i="23"/>
  <c r="J38" i="23"/>
  <c r="J33" i="23"/>
  <c r="J69" i="23"/>
  <c r="J89" i="23"/>
  <c r="J44" i="23"/>
  <c r="F12" i="23"/>
  <c r="J12" i="23" s="1"/>
  <c r="J39" i="23"/>
  <c r="I76" i="23"/>
  <c r="J76" i="23"/>
  <c r="F24" i="23"/>
  <c r="G24" i="23" s="1"/>
  <c r="H24" i="23" s="1"/>
  <c r="J98" i="23"/>
  <c r="I50" i="23"/>
  <c r="F34" i="23"/>
  <c r="J34" i="23" s="1"/>
  <c r="F13" i="23"/>
  <c r="J13" i="23" s="1"/>
  <c r="F85" i="23"/>
  <c r="J85" i="23" s="1"/>
  <c r="F87" i="23"/>
  <c r="J87" i="23" s="1"/>
  <c r="I55" i="23"/>
  <c r="F26" i="23"/>
  <c r="J26" i="23" s="1"/>
  <c r="F61" i="23"/>
  <c r="J61" i="23" s="1"/>
  <c r="I90" i="23"/>
  <c r="J59" i="23"/>
  <c r="J36" i="23"/>
  <c r="J43" i="23"/>
  <c r="J11" i="23"/>
  <c r="J75" i="23"/>
  <c r="J23" i="23"/>
  <c r="J48" i="23"/>
  <c r="J16" i="23"/>
  <c r="J78" i="23"/>
  <c r="J62" i="23"/>
  <c r="J41" i="23"/>
  <c r="J9" i="23"/>
  <c r="N91" i="23"/>
  <c r="O91" i="23" s="1"/>
  <c r="P91" i="23" s="1"/>
  <c r="N47" i="23"/>
  <c r="O47" i="23" s="1"/>
  <c r="P47" i="23" s="1"/>
  <c r="N100" i="23"/>
  <c r="O100" i="23" s="1"/>
  <c r="P100" i="23" s="1"/>
  <c r="N79" i="23"/>
  <c r="O79" i="23" s="1"/>
  <c r="P79" i="23" s="1"/>
  <c r="N57" i="23"/>
  <c r="O57" i="23" s="1"/>
  <c r="P57" i="23" s="1"/>
  <c r="N28" i="23"/>
  <c r="O28" i="23" s="1"/>
  <c r="P28" i="23" s="1"/>
  <c r="N104" i="23"/>
  <c r="O104" i="23" s="1"/>
  <c r="P104" i="23" s="1"/>
  <c r="N83" i="23"/>
  <c r="O83" i="23" s="1"/>
  <c r="P83" i="23" s="1"/>
  <c r="N61" i="23"/>
  <c r="O61" i="23" s="1"/>
  <c r="P61" i="23" s="1"/>
  <c r="N35" i="23"/>
  <c r="O35" i="23" s="1"/>
  <c r="P35" i="23" s="1"/>
  <c r="N8" i="23"/>
  <c r="O8" i="23" s="1"/>
  <c r="P8" i="23" s="1"/>
  <c r="N64" i="23"/>
  <c r="O64" i="23" s="1"/>
  <c r="P64" i="23" s="1"/>
  <c r="N7" i="23"/>
  <c r="O7" i="23" s="1"/>
  <c r="P7" i="23" s="1"/>
  <c r="N87" i="23"/>
  <c r="O87" i="23" s="1"/>
  <c r="P87" i="23" s="1"/>
  <c r="N65" i="23"/>
  <c r="O65" i="23" s="1"/>
  <c r="P65" i="23" s="1"/>
  <c r="N40" i="23"/>
  <c r="O40" i="23" s="1"/>
  <c r="P40" i="23" s="1"/>
  <c r="N106" i="23"/>
  <c r="O106" i="23" s="1"/>
  <c r="P106" i="23" s="1"/>
  <c r="N90" i="23"/>
  <c r="O90" i="23" s="1"/>
  <c r="P90" i="23" s="1"/>
  <c r="N74" i="23"/>
  <c r="O74" i="23" s="1"/>
  <c r="P74" i="23" s="1"/>
  <c r="N58" i="23"/>
  <c r="O58" i="23" s="1"/>
  <c r="P58" i="23" s="1"/>
  <c r="N42" i="23"/>
  <c r="O42" i="23" s="1"/>
  <c r="P42" i="23" s="1"/>
  <c r="N26" i="23"/>
  <c r="O26" i="23" s="1"/>
  <c r="P26" i="23" s="1"/>
  <c r="N10" i="23"/>
  <c r="O10" i="23" s="1"/>
  <c r="P10" i="23" s="1"/>
  <c r="N37" i="23"/>
  <c r="O37" i="23" s="1"/>
  <c r="P37" i="23" s="1"/>
  <c r="N21" i="23"/>
  <c r="O21" i="23" s="1"/>
  <c r="P21" i="23" s="1"/>
  <c r="I57" i="23"/>
  <c r="F91" i="23"/>
  <c r="J91" i="23" s="1"/>
  <c r="I21" i="23"/>
  <c r="F21" i="23"/>
  <c r="J21" i="23" s="1"/>
  <c r="I40" i="23"/>
  <c r="I104" i="23"/>
  <c r="I42" i="23"/>
  <c r="N80" i="23"/>
  <c r="O80" i="23" s="1"/>
  <c r="P80" i="23" s="1"/>
  <c r="N31" i="23"/>
  <c r="O31" i="23" s="1"/>
  <c r="P31" i="23" s="1"/>
  <c r="N95" i="23"/>
  <c r="O95" i="23" s="1"/>
  <c r="P95" i="23" s="1"/>
  <c r="N73" i="23"/>
  <c r="O73" i="23" s="1"/>
  <c r="P73" i="23" s="1"/>
  <c r="N52" i="23"/>
  <c r="O52" i="23" s="1"/>
  <c r="P52" i="23" s="1"/>
  <c r="N20" i="23"/>
  <c r="O20" i="23" s="1"/>
  <c r="P20" i="23" s="1"/>
  <c r="N99" i="23"/>
  <c r="O99" i="23" s="1"/>
  <c r="P99" i="23" s="1"/>
  <c r="N77" i="23"/>
  <c r="O77" i="23" s="1"/>
  <c r="P77" i="23" s="1"/>
  <c r="N56" i="23"/>
  <c r="O56" i="23" s="1"/>
  <c r="P56" i="23" s="1"/>
  <c r="N27" i="23"/>
  <c r="O27" i="23" s="1"/>
  <c r="P27" i="23" s="1"/>
  <c r="N96" i="23"/>
  <c r="O96" i="23" s="1"/>
  <c r="P96" i="23" s="1"/>
  <c r="N53" i="23"/>
  <c r="O53" i="23" s="1"/>
  <c r="P53" i="23" s="1"/>
  <c r="N103" i="23"/>
  <c r="O103" i="23" s="1"/>
  <c r="P103" i="23" s="1"/>
  <c r="N81" i="23"/>
  <c r="O81" i="23" s="1"/>
  <c r="P81" i="23" s="1"/>
  <c r="N60" i="23"/>
  <c r="O60" i="23" s="1"/>
  <c r="P60" i="23" s="1"/>
  <c r="N32" i="23"/>
  <c r="O32" i="23" s="1"/>
  <c r="P32" i="23" s="1"/>
  <c r="N102" i="23"/>
  <c r="O102" i="23" s="1"/>
  <c r="P102" i="23" s="1"/>
  <c r="N86" i="23"/>
  <c r="O86" i="23" s="1"/>
  <c r="P86" i="23" s="1"/>
  <c r="N70" i="23"/>
  <c r="O70" i="23" s="1"/>
  <c r="P70" i="23" s="1"/>
  <c r="N54" i="23"/>
  <c r="O54" i="23" s="1"/>
  <c r="P54" i="23" s="1"/>
  <c r="N38" i="23"/>
  <c r="O38" i="23" s="1"/>
  <c r="P38" i="23" s="1"/>
  <c r="N22" i="23"/>
  <c r="O22" i="23" s="1"/>
  <c r="P22" i="23" s="1"/>
  <c r="N49" i="23"/>
  <c r="O49" i="23" s="1"/>
  <c r="P49" i="23" s="1"/>
  <c r="N33" i="23"/>
  <c r="O33" i="23" s="1"/>
  <c r="P33" i="23" s="1"/>
  <c r="N17" i="23"/>
  <c r="O17" i="23" s="1"/>
  <c r="P17" i="23" s="1"/>
  <c r="N69" i="23"/>
  <c r="O69" i="23" s="1"/>
  <c r="P69" i="23" s="1"/>
  <c r="N15" i="23"/>
  <c r="O15" i="23" s="1"/>
  <c r="P15" i="23" s="1"/>
  <c r="N89" i="23"/>
  <c r="O89" i="23" s="1"/>
  <c r="P89" i="23" s="1"/>
  <c r="N68" i="23"/>
  <c r="O68" i="23" s="1"/>
  <c r="P68" i="23" s="1"/>
  <c r="N44" i="23"/>
  <c r="O44" i="23" s="1"/>
  <c r="P44" i="23" s="1"/>
  <c r="N12" i="23"/>
  <c r="O12" i="23" s="1"/>
  <c r="P12" i="23" s="1"/>
  <c r="N93" i="23"/>
  <c r="O93" i="23" s="1"/>
  <c r="P93" i="23" s="1"/>
  <c r="N72" i="23"/>
  <c r="O72" i="23" s="1"/>
  <c r="P72" i="23" s="1"/>
  <c r="N51" i="23"/>
  <c r="O51" i="23" s="1"/>
  <c r="P51" i="23" s="1"/>
  <c r="N19" i="23"/>
  <c r="O19" i="23" s="1"/>
  <c r="P19" i="23" s="1"/>
  <c r="N85" i="23"/>
  <c r="O85" i="23" s="1"/>
  <c r="P85" i="23" s="1"/>
  <c r="N39" i="23"/>
  <c r="O39" i="23" s="1"/>
  <c r="P39" i="23" s="1"/>
  <c r="N97" i="23"/>
  <c r="O97" i="23" s="1"/>
  <c r="P97" i="23" s="1"/>
  <c r="N76" i="23"/>
  <c r="O76" i="23" s="1"/>
  <c r="P76" i="23" s="1"/>
  <c r="N55" i="23"/>
  <c r="O55" i="23" s="1"/>
  <c r="P55" i="23" s="1"/>
  <c r="N24" i="23"/>
  <c r="O24" i="23" s="1"/>
  <c r="P24" i="23" s="1"/>
  <c r="N98" i="23"/>
  <c r="O98" i="23" s="1"/>
  <c r="P98" i="23" s="1"/>
  <c r="N82" i="23"/>
  <c r="O82" i="23" s="1"/>
  <c r="P82" i="23" s="1"/>
  <c r="N66" i="23"/>
  <c r="O66" i="23" s="1"/>
  <c r="P66" i="23" s="1"/>
  <c r="N50" i="23"/>
  <c r="O50" i="23" s="1"/>
  <c r="P50" i="23" s="1"/>
  <c r="N34" i="23"/>
  <c r="O34" i="23" s="1"/>
  <c r="P34" i="23" s="1"/>
  <c r="N18" i="23"/>
  <c r="O18" i="23" s="1"/>
  <c r="P18" i="23" s="1"/>
  <c r="N45" i="23"/>
  <c r="O45" i="23" s="1"/>
  <c r="P45" i="23" s="1"/>
  <c r="N29" i="23"/>
  <c r="O29" i="23" s="1"/>
  <c r="P29" i="23" s="1"/>
  <c r="N13" i="23"/>
  <c r="O13" i="23" s="1"/>
  <c r="P13" i="23" s="1"/>
  <c r="I51" i="23"/>
  <c r="I83" i="23"/>
  <c r="I91" i="23"/>
  <c r="I44" i="23"/>
  <c r="F90" i="23"/>
  <c r="J90" i="23" s="1"/>
  <c r="F83" i="23"/>
  <c r="G83" i="23" s="1"/>
  <c r="H83" i="23" s="1"/>
  <c r="F42" i="23"/>
  <c r="G42" i="23" s="1"/>
  <c r="H42" i="23" s="1"/>
  <c r="F35" i="23"/>
  <c r="J35" i="23" s="1"/>
  <c r="I69" i="23"/>
  <c r="F50" i="23"/>
  <c r="J50" i="23" s="1"/>
  <c r="I72" i="23"/>
  <c r="I45" i="23"/>
  <c r="F65" i="23"/>
  <c r="G65" i="23" s="1"/>
  <c r="H65" i="23" s="1"/>
  <c r="F82" i="23"/>
  <c r="J82" i="23" s="1"/>
  <c r="N101" i="23"/>
  <c r="O101" i="23" s="1"/>
  <c r="P101" i="23" s="1"/>
  <c r="N59" i="23"/>
  <c r="O59" i="23" s="1"/>
  <c r="P59" i="23" s="1"/>
  <c r="N105" i="23"/>
  <c r="O105" i="23" s="1"/>
  <c r="P105" i="23" s="1"/>
  <c r="N84" i="23"/>
  <c r="O84" i="23" s="1"/>
  <c r="P84" i="23" s="1"/>
  <c r="N63" i="23"/>
  <c r="O63" i="23" s="1"/>
  <c r="P63" i="23" s="1"/>
  <c r="N36" i="23"/>
  <c r="O36" i="23" s="1"/>
  <c r="P36" i="23" s="1"/>
  <c r="N6" i="23"/>
  <c r="O6" i="23" s="1"/>
  <c r="P6" i="23" s="1"/>
  <c r="N88" i="23"/>
  <c r="O88" i="23" s="1"/>
  <c r="P88" i="23" s="1"/>
  <c r="N67" i="23"/>
  <c r="O67" i="23" s="1"/>
  <c r="P67" i="23" s="1"/>
  <c r="N43" i="23"/>
  <c r="O43" i="23" s="1"/>
  <c r="P43" i="23" s="1"/>
  <c r="N11" i="23"/>
  <c r="O11" i="23" s="1"/>
  <c r="P11" i="23" s="1"/>
  <c r="N75" i="23"/>
  <c r="O75" i="23" s="1"/>
  <c r="P75" i="23" s="1"/>
  <c r="N23" i="23"/>
  <c r="O23" i="23" s="1"/>
  <c r="P23" i="23" s="1"/>
  <c r="N92" i="23"/>
  <c r="O92" i="23" s="1"/>
  <c r="P92" i="23" s="1"/>
  <c r="N71" i="23"/>
  <c r="O71" i="23" s="1"/>
  <c r="P71" i="23" s="1"/>
  <c r="N48" i="23"/>
  <c r="O48" i="23" s="1"/>
  <c r="P48" i="23" s="1"/>
  <c r="N16" i="23"/>
  <c r="O16" i="23" s="1"/>
  <c r="P16" i="23" s="1"/>
  <c r="N94" i="23"/>
  <c r="O94" i="23" s="1"/>
  <c r="P94" i="23" s="1"/>
  <c r="N78" i="23"/>
  <c r="O78" i="23" s="1"/>
  <c r="P78" i="23" s="1"/>
  <c r="N62" i="23"/>
  <c r="O62" i="23" s="1"/>
  <c r="P62" i="23" s="1"/>
  <c r="N46" i="23"/>
  <c r="O46" i="23" s="1"/>
  <c r="P46" i="23" s="1"/>
  <c r="N30" i="23"/>
  <c r="O30" i="23" s="1"/>
  <c r="P30" i="23" s="1"/>
  <c r="N14" i="23"/>
  <c r="O14" i="23" s="1"/>
  <c r="P14" i="23" s="1"/>
  <c r="N41" i="23"/>
  <c r="O41" i="23" s="1"/>
  <c r="P41" i="23" s="1"/>
  <c r="N25" i="23"/>
  <c r="O25" i="23" s="1"/>
  <c r="P25" i="23" s="1"/>
  <c r="N9" i="23"/>
  <c r="O9" i="23" s="1"/>
  <c r="P9" i="23" s="1"/>
  <c r="I19" i="23"/>
  <c r="I28" i="23"/>
  <c r="I89" i="23"/>
  <c r="F64" i="23"/>
  <c r="J64" i="23" s="1"/>
  <c r="F37" i="23"/>
  <c r="J37" i="23" s="1"/>
  <c r="F74" i="23"/>
  <c r="G74" i="23" s="1"/>
  <c r="H74" i="23" s="1"/>
  <c r="F15" i="23"/>
  <c r="J15" i="23" s="1"/>
  <c r="I47" i="23"/>
  <c r="I97" i="23"/>
  <c r="F68" i="23"/>
  <c r="J68" i="23" s="1"/>
  <c r="F45" i="23"/>
  <c r="J45" i="23" s="1"/>
  <c r="F19" i="23"/>
  <c r="J19" i="23" s="1"/>
  <c r="F47" i="23"/>
  <c r="J47" i="23" s="1"/>
  <c r="I68" i="23"/>
  <c r="F40" i="23"/>
  <c r="J40" i="23" s="1"/>
  <c r="F104" i="23"/>
  <c r="J104" i="23" s="1"/>
  <c r="F18" i="23"/>
  <c r="J18" i="23" s="1"/>
  <c r="F57" i="23"/>
  <c r="G57" i="23" s="1"/>
  <c r="H57" i="23" s="1"/>
  <c r="I7" i="23"/>
  <c r="F28" i="23"/>
  <c r="J28" i="23" s="1"/>
  <c r="F97" i="23"/>
  <c r="G97" i="23" s="1"/>
  <c r="H97" i="23" s="1"/>
  <c r="F8" i="23"/>
  <c r="J8" i="23" s="1"/>
  <c r="I58" i="23"/>
  <c r="I82" i="23"/>
  <c r="I74" i="23"/>
  <c r="I37" i="23"/>
  <c r="I35" i="23"/>
  <c r="I85" i="23"/>
  <c r="I29" i="23"/>
  <c r="F58" i="23"/>
  <c r="G58" i="23" s="1"/>
  <c r="H58" i="23" s="1"/>
  <c r="F51" i="23"/>
  <c r="J51" i="23" s="1"/>
  <c r="I15" i="23"/>
  <c r="I79" i="23"/>
  <c r="I93" i="23"/>
  <c r="I64" i="23"/>
  <c r="F100" i="23"/>
  <c r="G100" i="23" s="1"/>
  <c r="H100" i="23" s="1"/>
  <c r="F10" i="23"/>
  <c r="J10" i="23" s="1"/>
  <c r="F66" i="23"/>
  <c r="G66" i="23" s="1"/>
  <c r="H66" i="23" s="1"/>
  <c r="F55" i="23"/>
  <c r="J55" i="23" s="1"/>
  <c r="I100" i="23"/>
  <c r="F72" i="23"/>
  <c r="G72" i="23" s="1"/>
  <c r="H72" i="23" s="1"/>
  <c r="I39" i="23"/>
  <c r="I24" i="23"/>
  <c r="F29" i="23"/>
  <c r="J29" i="23" s="1"/>
  <c r="F93" i="23"/>
  <c r="G93" i="23" s="1"/>
  <c r="H93" i="23" s="1"/>
  <c r="F95" i="23"/>
  <c r="G95" i="23" s="1"/>
  <c r="H95" i="23" s="1"/>
  <c r="I26" i="23"/>
  <c r="I66" i="23"/>
  <c r="I18" i="23"/>
  <c r="I34" i="23"/>
  <c r="G96" i="23"/>
  <c r="H96" i="23" s="1"/>
  <c r="G41" i="23"/>
  <c r="H41" i="23" s="1"/>
  <c r="G36" i="23"/>
  <c r="H36" i="23" s="1"/>
  <c r="G86" i="23"/>
  <c r="H86" i="23" s="1"/>
  <c r="G23" i="23"/>
  <c r="H23" i="23" s="1"/>
  <c r="G62" i="23"/>
  <c r="H62" i="23" s="1"/>
  <c r="G11" i="23"/>
  <c r="H11" i="23" s="1"/>
  <c r="G48" i="23"/>
  <c r="H48" i="23" s="1"/>
  <c r="G9" i="23"/>
  <c r="H9" i="23" s="1"/>
  <c r="G69" i="23"/>
  <c r="H69" i="23" s="1"/>
  <c r="G75" i="23"/>
  <c r="H75" i="23" s="1"/>
  <c r="G89" i="23"/>
  <c r="H89" i="23" s="1"/>
  <c r="G39" i="23"/>
  <c r="H39" i="23" s="1"/>
  <c r="G99" i="23"/>
  <c r="H99" i="23" s="1"/>
  <c r="G76" i="23"/>
  <c r="H76" i="23" s="1"/>
  <c r="G98" i="23"/>
  <c r="H98" i="23" s="1"/>
  <c r="G27" i="23"/>
  <c r="H27" i="23" s="1"/>
  <c r="G79" i="23"/>
  <c r="H79" i="23" s="1"/>
  <c r="G78" i="23"/>
  <c r="H78" i="23" s="1"/>
  <c r="G70" i="23"/>
  <c r="H70" i="23" s="1"/>
  <c r="G59" i="23"/>
  <c r="H59" i="23" s="1"/>
  <c r="G33" i="23"/>
  <c r="H33" i="23" s="1"/>
  <c r="G43" i="23"/>
  <c r="H43" i="23" s="1"/>
  <c r="G16" i="23"/>
  <c r="H16" i="23" s="1"/>
  <c r="G106" i="23"/>
  <c r="H106" i="23" s="1"/>
  <c r="G31" i="23"/>
  <c r="H31" i="23" s="1"/>
  <c r="G38" i="23"/>
  <c r="H38" i="23" s="1"/>
  <c r="G56" i="23"/>
  <c r="H56" i="23" s="1"/>
  <c r="G44" i="23"/>
  <c r="H44" i="23" s="1"/>
  <c r="G7" i="23"/>
  <c r="H7" i="23" s="1"/>
  <c r="B19" i="19"/>
  <c r="D19" i="19" s="1"/>
  <c r="I17" i="8"/>
  <c r="J17" i="8" s="1"/>
  <c r="D150" i="2" s="1"/>
  <c r="F238" i="2" s="1"/>
  <c r="G149" i="2"/>
  <c r="F149" i="2"/>
  <c r="E37" i="1" s="1"/>
  <c r="H237" i="2" s="1"/>
  <c r="C42" i="16" s="1"/>
  <c r="I18" i="8"/>
  <c r="J18" i="8" s="1"/>
  <c r="G241" i="2" s="1"/>
  <c r="A244" i="2"/>
  <c r="B244" i="2"/>
  <c r="B225" i="2"/>
  <c r="D32" i="16"/>
  <c r="R53" i="2"/>
  <c r="C34" i="16"/>
  <c r="B135" i="2"/>
  <c r="K49" i="2"/>
  <c r="K50" i="2"/>
  <c r="D225" i="2"/>
  <c r="C157" i="8"/>
  <c r="C156" i="8" s="1"/>
  <c r="C155" i="8" s="1"/>
  <c r="C154" i="8" s="1"/>
  <c r="C153" i="8" s="1"/>
  <c r="C152" i="8" s="1"/>
  <c r="C151" i="8" s="1"/>
  <c r="C150" i="8" s="1"/>
  <c r="C149" i="8" s="1"/>
  <c r="C148" i="8" s="1"/>
  <c r="C147" i="8" s="1"/>
  <c r="C146" i="8" s="1"/>
  <c r="C145" i="8" s="1"/>
  <c r="C144" i="8" s="1"/>
  <c r="C143" i="8" s="1"/>
  <c r="C142" i="8" s="1"/>
  <c r="C141" i="8" s="1"/>
  <c r="C140" i="8" s="1"/>
  <c r="C139" i="8" s="1"/>
  <c r="C138" i="8" s="1"/>
  <c r="C137" i="8" s="1"/>
  <c r="C136" i="8" s="1"/>
  <c r="C135" i="8" s="1"/>
  <c r="C134" i="8" s="1"/>
  <c r="C133" i="8" s="1"/>
  <c r="C132" i="8" s="1"/>
  <c r="C131" i="8" s="1"/>
  <c r="C130" i="8" s="1"/>
  <c r="C129" i="8" s="1"/>
  <c r="C128" i="8" s="1"/>
  <c r="C127" i="8" s="1"/>
  <c r="C126" i="8" s="1"/>
  <c r="C125" i="8" s="1"/>
  <c r="C124" i="8" s="1"/>
  <c r="C123" i="8" s="1"/>
  <c r="C122" i="8" s="1"/>
  <c r="C121" i="8" s="1"/>
  <c r="C120" i="8" s="1"/>
  <c r="C119" i="8" s="1"/>
  <c r="C118" i="8" s="1"/>
  <c r="C117" i="8" s="1"/>
  <c r="C116" i="8" s="1"/>
  <c r="C115" i="8" s="1"/>
  <c r="C114" i="8" s="1"/>
  <c r="C113" i="8" s="1"/>
  <c r="C112" i="8" s="1"/>
  <c r="C111" i="8" s="1"/>
  <c r="C110" i="8" s="1"/>
  <c r="C109" i="8" s="1"/>
  <c r="C108" i="8" s="1"/>
  <c r="C107" i="8" s="1"/>
  <c r="C106" i="8" s="1"/>
  <c r="C105" i="8" s="1"/>
  <c r="C104" i="8" s="1"/>
  <c r="C103" i="8" s="1"/>
  <c r="C102" i="8" s="1"/>
  <c r="C101" i="8" s="1"/>
  <c r="C100" i="8" s="1"/>
  <c r="C99" i="8" s="1"/>
  <c r="C98" i="8" s="1"/>
  <c r="C97" i="8" s="1"/>
  <c r="C96" i="8" s="1"/>
  <c r="C95" i="8" s="1"/>
  <c r="C94" i="8" s="1"/>
  <c r="C93" i="8" s="1"/>
  <c r="C92" i="8" s="1"/>
  <c r="C91" i="8" s="1"/>
  <c r="C90" i="8" s="1"/>
  <c r="C89" i="8" s="1"/>
  <c r="C88" i="8" s="1"/>
  <c r="C87" i="8" s="1"/>
  <c r="C86" i="8" s="1"/>
  <c r="C85" i="8" s="1"/>
  <c r="C84" i="8" s="1"/>
  <c r="C83" i="8" s="1"/>
  <c r="C82" i="8" s="1"/>
  <c r="C81" i="8" s="1"/>
  <c r="C80" i="8" s="1"/>
  <c r="C79" i="8" s="1"/>
  <c r="C78" i="8" s="1"/>
  <c r="C77" i="8" s="1"/>
  <c r="C76" i="8" s="1"/>
  <c r="C75" i="8" s="1"/>
  <c r="C74" i="8" s="1"/>
  <c r="C73" i="8" s="1"/>
  <c r="C72" i="8" s="1"/>
  <c r="C71" i="8" s="1"/>
  <c r="C70" i="8" s="1"/>
  <c r="C69" i="8" s="1"/>
  <c r="C68" i="8" s="1"/>
  <c r="C67" i="8" s="1"/>
  <c r="C66" i="8" s="1"/>
  <c r="C65" i="8" s="1"/>
  <c r="C64" i="8" s="1"/>
  <c r="C63" i="8" s="1"/>
  <c r="C62" i="8" s="1"/>
  <c r="C61" i="8" s="1"/>
  <c r="C60" i="8" s="1"/>
  <c r="C59" i="8" s="1"/>
  <c r="C58" i="8" s="1"/>
  <c r="C57" i="8" s="1"/>
  <c r="C56" i="8" s="1"/>
  <c r="C55" i="8" s="1"/>
  <c r="C54" i="8" s="1"/>
  <c r="C53" i="8" s="1"/>
  <c r="C52" i="8" s="1"/>
  <c r="C51" i="8" s="1"/>
  <c r="C50" i="8" s="1"/>
  <c r="C49" i="8" s="1"/>
  <c r="C48" i="8" s="1"/>
  <c r="C47" i="8" s="1"/>
  <c r="C46" i="8" s="1"/>
  <c r="C45" i="8" s="1"/>
  <c r="C44" i="8" s="1"/>
  <c r="C43" i="8" s="1"/>
  <c r="C42" i="8" s="1"/>
  <c r="C41" i="8" s="1"/>
  <c r="C40" i="8" s="1"/>
  <c r="C39" i="8" s="1"/>
  <c r="C38" i="8" s="1"/>
  <c r="C37" i="8" s="1"/>
  <c r="C36" i="8" s="1"/>
  <c r="C35" i="8" s="1"/>
  <c r="C34" i="8" s="1"/>
  <c r="C33" i="8" s="1"/>
  <c r="C32" i="8" s="1"/>
  <c r="C31" i="8" s="1"/>
  <c r="C30" i="8" s="1"/>
  <c r="C29" i="8" s="1"/>
  <c r="C28" i="8" s="1"/>
  <c r="C27" i="8" s="1"/>
  <c r="C26" i="8" s="1"/>
  <c r="C25" i="8" s="1"/>
  <c r="C24" i="8" s="1"/>
  <c r="C23" i="8" s="1"/>
  <c r="C22" i="8" s="1"/>
  <c r="C21" i="8" s="1"/>
  <c r="C20" i="8" s="1"/>
  <c r="C19" i="8" s="1"/>
  <c r="C18" i="8" s="1"/>
  <c r="C17" i="8" s="1"/>
  <c r="C16" i="8" s="1"/>
  <c r="C15" i="8" s="1"/>
  <c r="C14" i="8" s="1"/>
  <c r="C13" i="8" s="1"/>
  <c r="C12" i="8" s="1"/>
  <c r="C11" i="8" s="1"/>
  <c r="C10" i="8" s="1"/>
  <c r="C9" i="8" s="1"/>
  <c r="C8" i="8" s="1"/>
  <c r="C7" i="8" s="1"/>
  <c r="C6" i="8" s="1"/>
  <c r="C4" i="8" s="1"/>
  <c r="B224" i="2"/>
  <c r="C225" i="2"/>
  <c r="B226" i="2"/>
  <c r="A227" i="2"/>
  <c r="B230" i="2"/>
  <c r="I11" i="19"/>
  <c r="I15" i="19"/>
  <c r="I19" i="19"/>
  <c r="I23" i="19"/>
  <c r="I27" i="19"/>
  <c r="I31" i="19"/>
  <c r="I35" i="19"/>
  <c r="I39" i="19"/>
  <c r="I43" i="19"/>
  <c r="I47" i="19"/>
  <c r="I51" i="19"/>
  <c r="I55" i="19"/>
  <c r="I59" i="19"/>
  <c r="I63" i="19"/>
  <c r="I67" i="19"/>
  <c r="I71" i="19"/>
  <c r="I75" i="19"/>
  <c r="I79" i="19"/>
  <c r="I83" i="19"/>
  <c r="I87" i="19"/>
  <c r="I91" i="19"/>
  <c r="I95" i="19"/>
  <c r="I99" i="19"/>
  <c r="I103" i="19"/>
  <c r="I13" i="19"/>
  <c r="I17" i="19"/>
  <c r="I21" i="19"/>
  <c r="I25" i="19"/>
  <c r="I29" i="19"/>
  <c r="I33" i="19"/>
  <c r="I37" i="19"/>
  <c r="I41" i="19"/>
  <c r="I45" i="19"/>
  <c r="I49" i="19"/>
  <c r="I53" i="19"/>
  <c r="I57" i="19"/>
  <c r="I61" i="19"/>
  <c r="I65" i="19"/>
  <c r="I69" i="19"/>
  <c r="I73" i="19"/>
  <c r="I77" i="19"/>
  <c r="I81" i="19"/>
  <c r="I85" i="19"/>
  <c r="I89" i="19"/>
  <c r="I93" i="19"/>
  <c r="I97" i="19"/>
  <c r="I101" i="19"/>
  <c r="I105" i="19"/>
  <c r="I10" i="19"/>
  <c r="I18" i="19"/>
  <c r="I26" i="19"/>
  <c r="I34" i="19"/>
  <c r="I42" i="19"/>
  <c r="I50" i="19"/>
  <c r="I58" i="19"/>
  <c r="I66" i="19"/>
  <c r="I74" i="19"/>
  <c r="I82" i="19"/>
  <c r="I90" i="19"/>
  <c r="I98" i="19"/>
  <c r="I106" i="19"/>
  <c r="I14" i="19"/>
  <c r="I22" i="19"/>
  <c r="I30" i="19"/>
  <c r="I38" i="19"/>
  <c r="I46" i="19"/>
  <c r="I54" i="19"/>
  <c r="I62" i="19"/>
  <c r="I70" i="19"/>
  <c r="I78" i="19"/>
  <c r="I86" i="19"/>
  <c r="I94" i="19"/>
  <c r="I102" i="19"/>
  <c r="I20" i="19"/>
  <c r="I36" i="19"/>
  <c r="I52" i="19"/>
  <c r="I68" i="19"/>
  <c r="I84" i="19"/>
  <c r="I100" i="19"/>
  <c r="I24" i="19"/>
  <c r="I40" i="19"/>
  <c r="I56" i="19"/>
  <c r="I72" i="19"/>
  <c r="I88" i="19"/>
  <c r="I104" i="19"/>
  <c r="I12" i="19"/>
  <c r="I28" i="19"/>
  <c r="I44" i="19"/>
  <c r="I60" i="19"/>
  <c r="I76" i="19"/>
  <c r="I92" i="19"/>
  <c r="I16" i="19"/>
  <c r="I32" i="19"/>
  <c r="I48" i="19"/>
  <c r="I64" i="19"/>
  <c r="I80" i="19"/>
  <c r="I96" i="19"/>
  <c r="D18" i="19"/>
  <c r="Q243" i="24" l="1"/>
  <c r="CE85" i="24"/>
  <c r="CE49" i="24"/>
  <c r="CE25" i="24"/>
  <c r="CE9" i="24"/>
  <c r="CE92" i="24"/>
  <c r="CE76" i="24"/>
  <c r="CE44" i="24"/>
  <c r="CE28" i="24"/>
  <c r="CE12" i="24"/>
  <c r="CE73" i="24"/>
  <c r="CE99" i="24"/>
  <c r="CE83" i="24"/>
  <c r="CE51" i="24"/>
  <c r="CE19" i="24"/>
  <c r="CE41" i="24"/>
  <c r="CE90" i="24"/>
  <c r="CE58" i="24"/>
  <c r="CE42" i="24"/>
  <c r="CE26" i="24"/>
  <c r="CE10" i="24"/>
  <c r="CE104" i="24"/>
  <c r="CE72" i="24"/>
  <c r="CE40" i="24"/>
  <c r="CE8" i="24"/>
  <c r="CE95" i="24"/>
  <c r="CE31" i="24"/>
  <c r="CE81" i="24"/>
  <c r="CE86" i="24"/>
  <c r="CE22" i="24"/>
  <c r="CE65" i="24"/>
  <c r="CE33" i="24"/>
  <c r="CE17" i="24"/>
  <c r="CE100" i="24"/>
  <c r="CE52" i="24"/>
  <c r="CE36" i="24"/>
  <c r="CE101" i="24"/>
  <c r="CE37" i="24"/>
  <c r="CE91" i="24"/>
  <c r="CE75" i="24"/>
  <c r="CE59" i="24"/>
  <c r="CE43" i="24"/>
  <c r="CE27" i="24"/>
  <c r="CE11" i="24"/>
  <c r="CE69" i="24"/>
  <c r="CE82" i="24"/>
  <c r="CE66" i="24"/>
  <c r="CE34" i="24"/>
  <c r="CE18" i="24"/>
  <c r="CE77" i="24"/>
  <c r="CE21" i="24"/>
  <c r="CE88" i="24"/>
  <c r="CE56" i="24"/>
  <c r="CE24" i="24"/>
  <c r="CE79" i="24"/>
  <c r="CE15" i="24"/>
  <c r="CE102" i="24"/>
  <c r="CE38" i="24"/>
  <c r="CE6" i="24"/>
  <c r="CE97" i="24"/>
  <c r="CE57" i="24"/>
  <c r="CE29" i="24"/>
  <c r="CE13" i="24"/>
  <c r="CE96" i="24"/>
  <c r="CE80" i="24"/>
  <c r="CE64" i="24"/>
  <c r="CE48" i="24"/>
  <c r="CE32" i="24"/>
  <c r="CE16" i="24"/>
  <c r="CE103" i="24"/>
  <c r="CE71" i="24"/>
  <c r="CE55" i="24"/>
  <c r="CE39" i="24"/>
  <c r="CE23" i="24"/>
  <c r="CE7" i="24"/>
  <c r="CE53" i="24"/>
  <c r="CE78" i="24"/>
  <c r="CE62" i="24"/>
  <c r="CE46" i="24"/>
  <c r="CE30" i="24"/>
  <c r="CE14" i="24"/>
  <c r="CD5" i="24"/>
  <c r="CE5" i="24"/>
  <c r="S45" i="24"/>
  <c r="S21" i="24"/>
  <c r="T21" i="24" s="1"/>
  <c r="O21" i="24" s="1"/>
  <c r="S88" i="24"/>
  <c r="S56" i="24"/>
  <c r="T56" i="24" s="1"/>
  <c r="O56" i="24" s="1"/>
  <c r="S24" i="24"/>
  <c r="S61" i="24"/>
  <c r="S63" i="24"/>
  <c r="T63" i="24" s="1"/>
  <c r="O63" i="24" s="1"/>
  <c r="S31" i="24"/>
  <c r="T31" i="24" s="1"/>
  <c r="O31" i="24" s="1"/>
  <c r="S81" i="24"/>
  <c r="S86" i="24"/>
  <c r="T86" i="24" s="1"/>
  <c r="O86" i="24" s="1"/>
  <c r="S54" i="24"/>
  <c r="T54" i="24" s="1"/>
  <c r="O54" i="24" s="1"/>
  <c r="S22" i="24"/>
  <c r="BN113" i="24"/>
  <c r="BQ113" i="24" s="1"/>
  <c r="BN163" i="24"/>
  <c r="BQ163" i="24" s="1"/>
  <c r="BN174" i="24"/>
  <c r="BQ174" i="24" s="1"/>
  <c r="BN183" i="24"/>
  <c r="BQ183" i="24" s="1"/>
  <c r="BN197" i="24"/>
  <c r="BQ197" i="24" s="1"/>
  <c r="BN137" i="24"/>
  <c r="BQ137" i="24" s="1"/>
  <c r="BN135" i="24"/>
  <c r="BQ135" i="24" s="1"/>
  <c r="BN194" i="24"/>
  <c r="BQ194" i="24" s="1"/>
  <c r="BN189" i="24"/>
  <c r="BQ189" i="24" s="1"/>
  <c r="BN122" i="24"/>
  <c r="BQ122" i="24" s="1"/>
  <c r="BN188" i="24"/>
  <c r="BQ188" i="24" s="1"/>
  <c r="BN172" i="24"/>
  <c r="BQ172" i="24" s="1"/>
  <c r="CB129" i="25"/>
  <c r="BL129" i="25"/>
  <c r="BP129" i="25" s="1"/>
  <c r="BL145" i="25"/>
  <c r="BP145" i="25" s="1"/>
  <c r="CB145" i="25"/>
  <c r="BL161" i="25"/>
  <c r="BP161" i="25" s="1"/>
  <c r="CB161" i="25"/>
  <c r="BL177" i="25"/>
  <c r="BP177" i="25" s="1"/>
  <c r="CB177" i="25"/>
  <c r="CB193" i="25"/>
  <c r="BL193" i="25"/>
  <c r="BP193" i="25" s="1"/>
  <c r="BL150" i="25"/>
  <c r="BP150" i="25" s="1"/>
  <c r="CB150" i="25"/>
  <c r="BL182" i="25"/>
  <c r="BP182" i="25" s="1"/>
  <c r="CB182" i="25"/>
  <c r="BL131" i="25"/>
  <c r="BP131" i="25" s="1"/>
  <c r="CB131" i="25"/>
  <c r="BL163" i="25"/>
  <c r="BP163" i="25" s="1"/>
  <c r="CB163" i="25"/>
  <c r="CB195" i="25"/>
  <c r="BL195" i="25"/>
  <c r="BP195" i="25" s="1"/>
  <c r="S65" i="24"/>
  <c r="S17" i="24"/>
  <c r="S84" i="24"/>
  <c r="S52" i="24"/>
  <c r="S20" i="24"/>
  <c r="S37" i="24"/>
  <c r="S75" i="24"/>
  <c r="S43" i="24"/>
  <c r="S11" i="24"/>
  <c r="S69" i="24"/>
  <c r="T69" i="24" s="1"/>
  <c r="O69" i="24" s="1"/>
  <c r="S98" i="24"/>
  <c r="S66" i="24"/>
  <c r="S34" i="24"/>
  <c r="BN195" i="24"/>
  <c r="BQ195" i="24" s="1"/>
  <c r="BN147" i="24"/>
  <c r="BQ147" i="24" s="1"/>
  <c r="BN154" i="24"/>
  <c r="BQ154" i="24" s="1"/>
  <c r="BN167" i="24"/>
  <c r="BQ167" i="24" s="1"/>
  <c r="BN185" i="24"/>
  <c r="BQ185" i="24" s="1"/>
  <c r="BN133" i="24"/>
  <c r="BQ133" i="24" s="1"/>
  <c r="BN112" i="24"/>
  <c r="BQ112" i="24" s="1"/>
  <c r="BN181" i="24"/>
  <c r="BQ181" i="24" s="1"/>
  <c r="BN157" i="24"/>
  <c r="BQ157" i="24" s="1"/>
  <c r="BN200" i="24"/>
  <c r="BQ200" i="24" s="1"/>
  <c r="BN168" i="24"/>
  <c r="BQ168" i="24" s="1"/>
  <c r="BL113" i="25"/>
  <c r="BP113" i="25" s="1"/>
  <c r="CB113" i="25"/>
  <c r="CB122" i="25"/>
  <c r="BL122" i="25"/>
  <c r="BP122" i="25" s="1"/>
  <c r="BL123" i="25"/>
  <c r="BP123" i="25" s="1"/>
  <c r="CB123" i="25"/>
  <c r="BL140" i="25"/>
  <c r="BP140" i="25" s="1"/>
  <c r="CB140" i="25"/>
  <c r="BL156" i="25"/>
  <c r="BP156" i="25" s="1"/>
  <c r="CB156" i="25"/>
  <c r="BL172" i="25"/>
  <c r="BP172" i="25" s="1"/>
  <c r="CB172" i="25"/>
  <c r="CB188" i="25"/>
  <c r="BL188" i="25"/>
  <c r="BP188" i="25" s="1"/>
  <c r="BL138" i="25"/>
  <c r="BP138" i="25" s="1"/>
  <c r="CB138" i="25"/>
  <c r="BL170" i="25"/>
  <c r="BP170" i="25" s="1"/>
  <c r="CB170" i="25"/>
  <c r="BL135" i="25"/>
  <c r="BP135" i="25" s="1"/>
  <c r="CB135" i="25"/>
  <c r="CB167" i="25"/>
  <c r="BL167" i="25"/>
  <c r="BP167" i="25" s="1"/>
  <c r="CB199" i="25"/>
  <c r="BL199" i="25"/>
  <c r="BP199" i="25" s="1"/>
  <c r="S97" i="24"/>
  <c r="T97" i="24" s="1"/>
  <c r="O97" i="24" s="1"/>
  <c r="S57" i="24"/>
  <c r="S29" i="24"/>
  <c r="T29" i="24" s="1"/>
  <c r="O29" i="24" s="1"/>
  <c r="S13" i="24"/>
  <c r="S96" i="24"/>
  <c r="T96" i="24" s="1"/>
  <c r="O96" i="24" s="1"/>
  <c r="S80" i="24"/>
  <c r="S64" i="24"/>
  <c r="T64" i="24" s="1"/>
  <c r="O64" i="24" s="1"/>
  <c r="S48" i="24"/>
  <c r="S32" i="24"/>
  <c r="T32" i="24" s="1"/>
  <c r="O32" i="24" s="1"/>
  <c r="S16" i="24"/>
  <c r="S89" i="24"/>
  <c r="T89" i="24" s="1"/>
  <c r="O89" i="24" s="1"/>
  <c r="S103" i="24"/>
  <c r="S87" i="24"/>
  <c r="T87" i="24" s="1"/>
  <c r="O87" i="24" s="1"/>
  <c r="S71" i="24"/>
  <c r="S55" i="24"/>
  <c r="T55" i="24" s="1"/>
  <c r="O55" i="24" s="1"/>
  <c r="S39" i="24"/>
  <c r="S23" i="24"/>
  <c r="T23" i="24" s="1"/>
  <c r="O23" i="24" s="1"/>
  <c r="S7" i="24"/>
  <c r="S53" i="24"/>
  <c r="T53" i="24" s="1"/>
  <c r="O53" i="24" s="1"/>
  <c r="S94" i="24"/>
  <c r="S78" i="24"/>
  <c r="T78" i="24" s="1"/>
  <c r="O78" i="24" s="1"/>
  <c r="S62" i="24"/>
  <c r="S46" i="24"/>
  <c r="T46" i="24" s="1"/>
  <c r="O46" i="24" s="1"/>
  <c r="S30" i="24"/>
  <c r="S14" i="24"/>
  <c r="T14" i="24" s="1"/>
  <c r="O14" i="24" s="1"/>
  <c r="BN199" i="24"/>
  <c r="BQ199" i="24" s="1"/>
  <c r="BN121" i="24"/>
  <c r="BQ121" i="24" s="1"/>
  <c r="BN191" i="24"/>
  <c r="BQ191" i="24" s="1"/>
  <c r="BN131" i="24"/>
  <c r="BQ131" i="24" s="1"/>
  <c r="BN111" i="24"/>
  <c r="BQ111" i="24" s="1"/>
  <c r="BN182" i="24"/>
  <c r="BQ182" i="24" s="1"/>
  <c r="BN166" i="24"/>
  <c r="BQ166" i="24" s="1"/>
  <c r="BN150" i="24"/>
  <c r="BQ150" i="24" s="1"/>
  <c r="BN134" i="24"/>
  <c r="BQ134" i="24" s="1"/>
  <c r="BN155" i="24"/>
  <c r="BQ155" i="24" s="1"/>
  <c r="BN123" i="24"/>
  <c r="BQ123" i="24" s="1"/>
  <c r="BN173" i="24"/>
  <c r="BQ173" i="24" s="1"/>
  <c r="BN145" i="24"/>
  <c r="BQ145" i="24" s="1"/>
  <c r="BN151" i="24"/>
  <c r="BQ151" i="24" s="1"/>
  <c r="BN210" i="24"/>
  <c r="BQ210" i="24" s="1"/>
  <c r="BN127" i="24"/>
  <c r="BQ127" i="24" s="1"/>
  <c r="BN201" i="24"/>
  <c r="BQ201" i="24" s="1"/>
  <c r="BN177" i="24"/>
  <c r="BQ177" i="24" s="1"/>
  <c r="BN130" i="24"/>
  <c r="BQ130" i="24" s="1"/>
  <c r="BN114" i="24"/>
  <c r="BQ114" i="24" s="1"/>
  <c r="BN196" i="24"/>
  <c r="BQ196" i="24" s="1"/>
  <c r="BN180" i="24"/>
  <c r="BQ180" i="24" s="1"/>
  <c r="BN164" i="24"/>
  <c r="BQ164" i="24" s="1"/>
  <c r="BN148" i="24"/>
  <c r="BQ148" i="24" s="1"/>
  <c r="BN132" i="24"/>
  <c r="BQ132" i="24" s="1"/>
  <c r="BL116" i="25"/>
  <c r="BP116" i="25" s="1"/>
  <c r="CB116" i="25"/>
  <c r="CB117" i="25"/>
  <c r="BL117" i="25"/>
  <c r="BP117" i="25" s="1"/>
  <c r="BL126" i="25"/>
  <c r="BP126" i="25" s="1"/>
  <c r="CB126" i="25"/>
  <c r="BL111" i="25"/>
  <c r="BP111" i="25" s="1"/>
  <c r="CB111" i="25"/>
  <c r="CB127" i="25"/>
  <c r="BL127" i="25"/>
  <c r="BP127" i="25" s="1"/>
  <c r="BL133" i="25"/>
  <c r="BP133" i="25" s="1"/>
  <c r="CB133" i="25"/>
  <c r="CB141" i="25"/>
  <c r="BL141" i="25"/>
  <c r="BP141" i="25" s="1"/>
  <c r="CB149" i="25"/>
  <c r="BL149" i="25"/>
  <c r="BP149" i="25" s="1"/>
  <c r="CB157" i="25"/>
  <c r="BL157" i="25"/>
  <c r="BP157" i="25" s="1"/>
  <c r="CB165" i="25"/>
  <c r="BL165" i="25"/>
  <c r="BP165" i="25" s="1"/>
  <c r="CB173" i="25"/>
  <c r="BL173" i="25"/>
  <c r="BP173" i="25" s="1"/>
  <c r="CB181" i="25"/>
  <c r="BL181" i="25"/>
  <c r="BP181" i="25" s="1"/>
  <c r="CB189" i="25"/>
  <c r="BL189" i="25"/>
  <c r="BP189" i="25" s="1"/>
  <c r="CB197" i="25"/>
  <c r="BL197" i="25"/>
  <c r="BP197" i="25" s="1"/>
  <c r="BL142" i="25"/>
  <c r="BP142" i="25" s="1"/>
  <c r="CB142" i="25"/>
  <c r="BL158" i="25"/>
  <c r="BP158" i="25" s="1"/>
  <c r="CB158" i="25"/>
  <c r="BL174" i="25"/>
  <c r="BP174" i="25" s="1"/>
  <c r="CB174" i="25"/>
  <c r="BL190" i="25"/>
  <c r="BP190" i="25" s="1"/>
  <c r="CB190" i="25"/>
  <c r="CB139" i="25"/>
  <c r="BL139" i="25"/>
  <c r="BP139" i="25" s="1"/>
  <c r="BL155" i="25"/>
  <c r="BP155" i="25" s="1"/>
  <c r="CB155" i="25"/>
  <c r="CB171" i="25"/>
  <c r="BL171" i="25"/>
  <c r="BP171" i="25" s="1"/>
  <c r="BL187" i="25"/>
  <c r="BP187" i="25" s="1"/>
  <c r="CB187" i="25"/>
  <c r="CB201" i="25"/>
  <c r="BL201" i="25"/>
  <c r="BP201" i="25" s="1"/>
  <c r="CB209" i="25"/>
  <c r="BL209" i="25"/>
  <c r="BP209" i="25" s="1"/>
  <c r="CB203" i="25"/>
  <c r="BL203" i="25"/>
  <c r="BP203" i="25" s="1"/>
  <c r="CB208" i="25"/>
  <c r="BL208" i="25"/>
  <c r="BP208" i="25" s="1"/>
  <c r="S77" i="24"/>
  <c r="S104" i="24"/>
  <c r="T104" i="24" s="1"/>
  <c r="O104" i="24" s="1"/>
  <c r="S72" i="24"/>
  <c r="T72" i="24" s="1"/>
  <c r="O72" i="24" s="1"/>
  <c r="S40" i="24"/>
  <c r="T40" i="24" s="1"/>
  <c r="O40" i="24" s="1"/>
  <c r="S8" i="24"/>
  <c r="S95" i="24"/>
  <c r="T95" i="24" s="1"/>
  <c r="O95" i="24" s="1"/>
  <c r="S79" i="24"/>
  <c r="T79" i="24" s="1"/>
  <c r="O79" i="24" s="1"/>
  <c r="S47" i="24"/>
  <c r="S15" i="24"/>
  <c r="S102" i="24"/>
  <c r="S70" i="24"/>
  <c r="T70" i="24" s="1"/>
  <c r="O70" i="24" s="1"/>
  <c r="S38" i="24"/>
  <c r="S6" i="24"/>
  <c r="BN187" i="24"/>
  <c r="BQ187" i="24" s="1"/>
  <c r="BN125" i="24"/>
  <c r="BQ125" i="24" s="1"/>
  <c r="BN202" i="24"/>
  <c r="BQ202" i="24" s="1"/>
  <c r="BN158" i="24"/>
  <c r="BQ158" i="24" s="1"/>
  <c r="BN142" i="24"/>
  <c r="BQ142" i="24" s="1"/>
  <c r="BN198" i="24"/>
  <c r="BQ198" i="24" s="1"/>
  <c r="BN153" i="24"/>
  <c r="BQ153" i="24" s="1"/>
  <c r="BN171" i="24"/>
  <c r="BQ171" i="24" s="1"/>
  <c r="BN128" i="24"/>
  <c r="BQ128" i="24" s="1"/>
  <c r="BN115" i="24"/>
  <c r="BQ115" i="24" s="1"/>
  <c r="BN161" i="24"/>
  <c r="BQ161" i="24" s="1"/>
  <c r="BN204" i="24"/>
  <c r="BQ204" i="24" s="1"/>
  <c r="BN156" i="24"/>
  <c r="BQ156" i="24" s="1"/>
  <c r="BN140" i="24"/>
  <c r="BQ140" i="24" s="1"/>
  <c r="BL121" i="25"/>
  <c r="BP121" i="25" s="1"/>
  <c r="CB121" i="25"/>
  <c r="BL124" i="25"/>
  <c r="BP124" i="25" s="1"/>
  <c r="CB124" i="25"/>
  <c r="BL118" i="25"/>
  <c r="BP118" i="25" s="1"/>
  <c r="CB118" i="25"/>
  <c r="CB119" i="25"/>
  <c r="BL119" i="25"/>
  <c r="BP119" i="25" s="1"/>
  <c r="CB137" i="25"/>
  <c r="BL137" i="25"/>
  <c r="BP137" i="25" s="1"/>
  <c r="BL153" i="25"/>
  <c r="BP153" i="25" s="1"/>
  <c r="CB153" i="25"/>
  <c r="BL169" i="25"/>
  <c r="BP169" i="25" s="1"/>
  <c r="CB169" i="25"/>
  <c r="BL185" i="25"/>
  <c r="BP185" i="25" s="1"/>
  <c r="CB185" i="25"/>
  <c r="CB134" i="25"/>
  <c r="BL134" i="25"/>
  <c r="BP134" i="25" s="1"/>
  <c r="BL166" i="25"/>
  <c r="BP166" i="25" s="1"/>
  <c r="CB166" i="25"/>
  <c r="CB198" i="25"/>
  <c r="BL198" i="25"/>
  <c r="BP198" i="25" s="1"/>
  <c r="BL147" i="25"/>
  <c r="BP147" i="25" s="1"/>
  <c r="CB147" i="25"/>
  <c r="BL179" i="25"/>
  <c r="BP179" i="25" s="1"/>
  <c r="CB179" i="25"/>
  <c r="CB205" i="25"/>
  <c r="BL205" i="25"/>
  <c r="BP205" i="25" s="1"/>
  <c r="CB200" i="25"/>
  <c r="BL200" i="25"/>
  <c r="BP200" i="25" s="1"/>
  <c r="S105" i="24"/>
  <c r="T105" i="24" s="1"/>
  <c r="O105" i="24" s="1"/>
  <c r="S33" i="24"/>
  <c r="T33" i="24" s="1"/>
  <c r="O33" i="24" s="1"/>
  <c r="S100" i="24"/>
  <c r="T100" i="24" s="1"/>
  <c r="O100" i="24" s="1"/>
  <c r="S68" i="24"/>
  <c r="T68" i="24" s="1"/>
  <c r="O68" i="24" s="1"/>
  <c r="S36" i="24"/>
  <c r="T36" i="24" s="1"/>
  <c r="O36" i="24" s="1"/>
  <c r="S101" i="24"/>
  <c r="T101" i="24" s="1"/>
  <c r="O101" i="24" s="1"/>
  <c r="S91" i="24"/>
  <c r="T91" i="24" s="1"/>
  <c r="O91" i="24" s="1"/>
  <c r="S59" i="24"/>
  <c r="T59" i="24" s="1"/>
  <c r="O59" i="24" s="1"/>
  <c r="S27" i="24"/>
  <c r="T27" i="24" s="1"/>
  <c r="O27" i="24" s="1"/>
  <c r="S82" i="24"/>
  <c r="T82" i="24" s="1"/>
  <c r="O82" i="24" s="1"/>
  <c r="S50" i="24"/>
  <c r="T50" i="24" s="1"/>
  <c r="O50" i="24" s="1"/>
  <c r="S18" i="24"/>
  <c r="T18" i="24" s="1"/>
  <c r="O18" i="24" s="1"/>
  <c r="BN117" i="24"/>
  <c r="BQ117" i="24" s="1"/>
  <c r="BN207" i="24"/>
  <c r="BQ207" i="24" s="1"/>
  <c r="BN186" i="24"/>
  <c r="BQ186" i="24" s="1"/>
  <c r="BN170" i="24"/>
  <c r="BQ170" i="24" s="1"/>
  <c r="BN138" i="24"/>
  <c r="BQ138" i="24" s="1"/>
  <c r="BN190" i="24"/>
  <c r="BQ190" i="24" s="1"/>
  <c r="BN149" i="24"/>
  <c r="BQ149" i="24" s="1"/>
  <c r="BN159" i="24"/>
  <c r="BQ159" i="24" s="1"/>
  <c r="BN124" i="24"/>
  <c r="BQ124" i="24" s="1"/>
  <c r="BN205" i="24"/>
  <c r="BQ205" i="24" s="1"/>
  <c r="BN118" i="24"/>
  <c r="BQ118" i="24" s="1"/>
  <c r="BN152" i="24"/>
  <c r="BQ152" i="24" s="1"/>
  <c r="BN136" i="24"/>
  <c r="BQ136" i="24" s="1"/>
  <c r="CB112" i="25"/>
  <c r="BL112" i="25"/>
  <c r="BP112" i="25" s="1"/>
  <c r="CB132" i="25"/>
  <c r="BL132" i="25"/>
  <c r="BP132" i="25" s="1"/>
  <c r="BL148" i="25"/>
  <c r="BP148" i="25" s="1"/>
  <c r="CB148" i="25"/>
  <c r="BL164" i="25"/>
  <c r="BP164" i="25" s="1"/>
  <c r="CB164" i="25"/>
  <c r="BL180" i="25"/>
  <c r="BP180" i="25" s="1"/>
  <c r="CB180" i="25"/>
  <c r="CB196" i="25"/>
  <c r="BL196" i="25"/>
  <c r="BP196" i="25" s="1"/>
  <c r="CB154" i="25"/>
  <c r="BL154" i="25"/>
  <c r="BP154" i="25" s="1"/>
  <c r="CB186" i="25"/>
  <c r="BL186" i="25"/>
  <c r="BP186" i="25" s="1"/>
  <c r="BL151" i="25"/>
  <c r="BP151" i="25" s="1"/>
  <c r="CB151" i="25"/>
  <c r="BL183" i="25"/>
  <c r="BP183" i="25" s="1"/>
  <c r="CB183" i="25"/>
  <c r="CB206" i="25"/>
  <c r="BL206" i="25"/>
  <c r="BP206" i="25" s="1"/>
  <c r="CB204" i="25"/>
  <c r="BL204" i="25"/>
  <c r="BP204" i="25" s="1"/>
  <c r="S85" i="24"/>
  <c r="T85" i="24" s="1"/>
  <c r="O85" i="24" s="1"/>
  <c r="S49" i="24"/>
  <c r="S25" i="24"/>
  <c r="T25" i="24" s="1"/>
  <c r="O25" i="24" s="1"/>
  <c r="S9" i="24"/>
  <c r="S92" i="24"/>
  <c r="T92" i="24" s="1"/>
  <c r="O92" i="24" s="1"/>
  <c r="S76" i="24"/>
  <c r="S60" i="24"/>
  <c r="T60" i="24" s="1"/>
  <c r="O60" i="24" s="1"/>
  <c r="S44" i="24"/>
  <c r="S28" i="24"/>
  <c r="T28" i="24" s="1"/>
  <c r="O28" i="24" s="1"/>
  <c r="S12" i="24"/>
  <c r="S73" i="24"/>
  <c r="T73" i="24" s="1"/>
  <c r="O73" i="24" s="1"/>
  <c r="S99" i="24"/>
  <c r="S83" i="24"/>
  <c r="T83" i="24" s="1"/>
  <c r="O83" i="24" s="1"/>
  <c r="S67" i="24"/>
  <c r="S51" i="24"/>
  <c r="T51" i="24" s="1"/>
  <c r="O51" i="24" s="1"/>
  <c r="S35" i="24"/>
  <c r="S19" i="24"/>
  <c r="T19" i="24" s="1"/>
  <c r="O19" i="24" s="1"/>
  <c r="S93" i="24"/>
  <c r="S41" i="24"/>
  <c r="T41" i="24" s="1"/>
  <c r="O41" i="24" s="1"/>
  <c r="S90" i="24"/>
  <c r="S74" i="24"/>
  <c r="T74" i="24" s="1"/>
  <c r="O74" i="24" s="1"/>
  <c r="S58" i="24"/>
  <c r="S42" i="24"/>
  <c r="T42" i="24" s="1"/>
  <c r="O42" i="24" s="1"/>
  <c r="S26" i="24"/>
  <c r="S10" i="24"/>
  <c r="T10" i="24" s="1"/>
  <c r="O10" i="24" s="1"/>
  <c r="BN203" i="24"/>
  <c r="BQ203" i="24" s="1"/>
  <c r="BN129" i="24"/>
  <c r="BQ129" i="24" s="1"/>
  <c r="BN179" i="24"/>
  <c r="BQ179" i="24" s="1"/>
  <c r="BN120" i="24"/>
  <c r="BQ120" i="24" s="1"/>
  <c r="BN178" i="24"/>
  <c r="BQ178" i="24" s="1"/>
  <c r="BN162" i="24"/>
  <c r="BQ162" i="24" s="1"/>
  <c r="BN146" i="24"/>
  <c r="BQ146" i="24" s="1"/>
  <c r="BN139" i="24"/>
  <c r="BQ139" i="24" s="1"/>
  <c r="BN116" i="24"/>
  <c r="BQ116" i="24" s="1"/>
  <c r="BN209" i="24"/>
  <c r="BQ209" i="24" s="1"/>
  <c r="BN165" i="24"/>
  <c r="BQ165" i="24" s="1"/>
  <c r="BN175" i="24"/>
  <c r="BQ175" i="24" s="1"/>
  <c r="BN143" i="24"/>
  <c r="BQ143" i="24" s="1"/>
  <c r="BN206" i="24"/>
  <c r="BQ206" i="24" s="1"/>
  <c r="BN119" i="24"/>
  <c r="BQ119" i="24" s="1"/>
  <c r="BN193" i="24"/>
  <c r="BQ193" i="24" s="1"/>
  <c r="BN169" i="24"/>
  <c r="BQ169" i="24" s="1"/>
  <c r="BN126" i="24"/>
  <c r="BQ126" i="24" s="1"/>
  <c r="BN208" i="24"/>
  <c r="BQ208" i="24" s="1"/>
  <c r="BN192" i="24"/>
  <c r="BQ192" i="24" s="1"/>
  <c r="BN176" i="24"/>
  <c r="BQ176" i="24" s="1"/>
  <c r="BN160" i="24"/>
  <c r="BQ160" i="24" s="1"/>
  <c r="BN144" i="24"/>
  <c r="BQ144" i="24" s="1"/>
  <c r="BL120" i="25"/>
  <c r="BP120" i="25" s="1"/>
  <c r="CB120" i="25"/>
  <c r="CB125" i="25"/>
  <c r="BL125" i="25"/>
  <c r="BP125" i="25" s="1"/>
  <c r="CB114" i="25"/>
  <c r="BL114" i="25"/>
  <c r="BP114" i="25" s="1"/>
  <c r="CB115" i="25"/>
  <c r="BL115" i="25"/>
  <c r="BP115" i="25" s="1"/>
  <c r="BL128" i="25"/>
  <c r="BP128" i="25" s="1"/>
  <c r="CB128" i="25"/>
  <c r="BL136" i="25"/>
  <c r="BP136" i="25" s="1"/>
  <c r="CB136" i="25"/>
  <c r="BL144" i="25"/>
  <c r="BP144" i="25" s="1"/>
  <c r="CB144" i="25"/>
  <c r="CB152" i="25"/>
  <c r="BL152" i="25"/>
  <c r="BP152" i="25" s="1"/>
  <c r="CB160" i="25"/>
  <c r="BL160" i="25"/>
  <c r="BP160" i="25" s="1"/>
  <c r="BL168" i="25"/>
  <c r="BP168" i="25" s="1"/>
  <c r="CB168" i="25"/>
  <c r="CB176" i="25"/>
  <c r="BL176" i="25"/>
  <c r="BP176" i="25" s="1"/>
  <c r="CB184" i="25"/>
  <c r="BL184" i="25"/>
  <c r="BP184" i="25" s="1"/>
  <c r="CB192" i="25"/>
  <c r="BL192" i="25"/>
  <c r="BP192" i="25" s="1"/>
  <c r="BL130" i="25"/>
  <c r="BP130" i="25" s="1"/>
  <c r="CB130" i="25"/>
  <c r="CB146" i="25"/>
  <c r="BL146" i="25"/>
  <c r="BP146" i="25" s="1"/>
  <c r="CB162" i="25"/>
  <c r="BL162" i="25"/>
  <c r="BP162" i="25" s="1"/>
  <c r="CB178" i="25"/>
  <c r="BL178" i="25"/>
  <c r="BP178" i="25" s="1"/>
  <c r="CB194" i="25"/>
  <c r="BL194" i="25"/>
  <c r="BP194" i="25" s="1"/>
  <c r="CB143" i="25"/>
  <c r="BL143" i="25"/>
  <c r="BP143" i="25" s="1"/>
  <c r="BL159" i="25"/>
  <c r="BP159" i="25" s="1"/>
  <c r="CB159" i="25"/>
  <c r="CB175" i="25"/>
  <c r="BL175" i="25"/>
  <c r="BP175" i="25" s="1"/>
  <c r="BL191" i="25"/>
  <c r="BP191" i="25" s="1"/>
  <c r="CB191" i="25"/>
  <c r="CB202" i="25"/>
  <c r="BL202" i="25"/>
  <c r="BP202" i="25" s="1"/>
  <c r="CB210" i="25"/>
  <c r="BL210" i="25"/>
  <c r="BP210" i="25" s="1"/>
  <c r="BL207" i="25"/>
  <c r="BP207" i="25" s="1"/>
  <c r="CB207" i="25"/>
  <c r="U110" i="24"/>
  <c r="V110" i="24" s="1"/>
  <c r="N110" i="24"/>
  <c r="N210" i="24"/>
  <c r="P210" i="24" s="1"/>
  <c r="N212" i="24"/>
  <c r="S141" i="24"/>
  <c r="T141" i="24" s="1"/>
  <c r="BN141" i="24"/>
  <c r="BQ141" i="24" s="1"/>
  <c r="S184" i="24"/>
  <c r="T184" i="24" s="1"/>
  <c r="BN184" i="24"/>
  <c r="BQ184" i="24" s="1"/>
  <c r="Q226" i="24"/>
  <c r="Q290" i="24"/>
  <c r="Q233" i="24"/>
  <c r="Q282" i="24"/>
  <c r="Q277" i="24"/>
  <c r="Q292" i="24"/>
  <c r="Q254" i="24"/>
  <c r="Q284" i="24"/>
  <c r="Q230" i="24"/>
  <c r="Q257" i="24"/>
  <c r="Q248" i="24"/>
  <c r="Q222" i="24"/>
  <c r="Q312" i="24"/>
  <c r="O216" i="24"/>
  <c r="J216" i="24"/>
  <c r="J110" i="24"/>
  <c r="O110" i="24"/>
  <c r="BY110" i="24" s="1"/>
  <c r="S121" i="24"/>
  <c r="T121" i="24" s="1"/>
  <c r="J121" i="24" s="1"/>
  <c r="S262" i="24"/>
  <c r="T262" i="24" s="1"/>
  <c r="O262" i="24" s="1"/>
  <c r="Q150" i="24"/>
  <c r="S150" i="24"/>
  <c r="T150" i="24" s="1"/>
  <c r="S305" i="24"/>
  <c r="T305" i="24" s="1"/>
  <c r="O305" i="24" s="1"/>
  <c r="S257" i="24"/>
  <c r="T257" i="24" s="1"/>
  <c r="O257" i="24" s="1"/>
  <c r="Q155" i="24"/>
  <c r="S155" i="24"/>
  <c r="T155" i="24" s="1"/>
  <c r="S230" i="24"/>
  <c r="T230" i="24" s="1"/>
  <c r="J230" i="24" s="1"/>
  <c r="Q145" i="24"/>
  <c r="S145" i="24"/>
  <c r="T145" i="24" s="1"/>
  <c r="S284" i="24"/>
  <c r="T284" i="24" s="1"/>
  <c r="O284" i="24" s="1"/>
  <c r="S236" i="24"/>
  <c r="T236" i="24" s="1"/>
  <c r="J236" i="24" s="1"/>
  <c r="S314" i="24"/>
  <c r="T314" i="24" s="1"/>
  <c r="J314" i="24" s="1"/>
  <c r="S210" i="24"/>
  <c r="T210" i="24" s="1"/>
  <c r="S130" i="24"/>
  <c r="T130" i="24" s="1"/>
  <c r="O130" i="24" s="1"/>
  <c r="S180" i="24"/>
  <c r="T180" i="24" s="1"/>
  <c r="J180" i="24" s="1"/>
  <c r="AI180" i="24" s="1"/>
  <c r="S132" i="24"/>
  <c r="T132" i="24" s="1"/>
  <c r="O132" i="24" s="1"/>
  <c r="S271" i="24"/>
  <c r="T271" i="24" s="1"/>
  <c r="J271" i="24" s="1"/>
  <c r="S223" i="24"/>
  <c r="T223" i="24" s="1"/>
  <c r="J223" i="24" s="1"/>
  <c r="Q187" i="24"/>
  <c r="S187" i="24"/>
  <c r="T187" i="24" s="1"/>
  <c r="S113" i="24"/>
  <c r="T113" i="24" s="1"/>
  <c r="O113" i="24" s="1"/>
  <c r="Q125" i="24"/>
  <c r="S125" i="24"/>
  <c r="T125" i="24" s="1"/>
  <c r="Q163" i="24"/>
  <c r="S163" i="24"/>
  <c r="T163" i="24" s="1"/>
  <c r="S294" i="24"/>
  <c r="T294" i="24" s="1"/>
  <c r="J294" i="24" s="1"/>
  <c r="S242" i="24"/>
  <c r="T242" i="24" s="1"/>
  <c r="O242" i="24" s="1"/>
  <c r="S202" i="24"/>
  <c r="T202" i="24" s="1"/>
  <c r="J202" i="24" s="1"/>
  <c r="AI202" i="24" s="1"/>
  <c r="S174" i="24"/>
  <c r="T174" i="24" s="1"/>
  <c r="O174" i="24" s="1"/>
  <c r="S158" i="24"/>
  <c r="T158" i="24" s="1"/>
  <c r="O158" i="24" s="1"/>
  <c r="Q142" i="24"/>
  <c r="S142" i="24"/>
  <c r="T142" i="24" s="1"/>
  <c r="S313" i="24"/>
  <c r="T313" i="24" s="1"/>
  <c r="O313" i="24" s="1"/>
  <c r="S297" i="24"/>
  <c r="T297" i="24" s="1"/>
  <c r="J297" i="24" s="1"/>
  <c r="S281" i="24"/>
  <c r="T281" i="24" s="1"/>
  <c r="O281" i="24" s="1"/>
  <c r="S265" i="24"/>
  <c r="T265" i="24" s="1"/>
  <c r="O265" i="24" s="1"/>
  <c r="S249" i="24"/>
  <c r="T249" i="24" s="1"/>
  <c r="O249" i="24" s="1"/>
  <c r="S233" i="24"/>
  <c r="T233" i="24" s="1"/>
  <c r="J233" i="24" s="1"/>
  <c r="Q183" i="24"/>
  <c r="S183" i="24"/>
  <c r="T183" i="24" s="1"/>
  <c r="S306" i="24"/>
  <c r="T306" i="24" s="1"/>
  <c r="O306" i="24" s="1"/>
  <c r="S254" i="24"/>
  <c r="T254" i="24" s="1"/>
  <c r="J254" i="24" s="1"/>
  <c r="S198" i="24"/>
  <c r="T198" i="24" s="1"/>
  <c r="O198" i="24" s="1"/>
  <c r="S197" i="24"/>
  <c r="T197" i="24" s="1"/>
  <c r="J197" i="24" s="1"/>
  <c r="S153" i="24"/>
  <c r="T153" i="24" s="1"/>
  <c r="O153" i="24" s="1"/>
  <c r="Q137" i="24"/>
  <c r="S137" i="24"/>
  <c r="T137" i="24" s="1"/>
  <c r="S308" i="24"/>
  <c r="T308" i="24" s="1"/>
  <c r="O308" i="24" s="1"/>
  <c r="S292" i="24"/>
  <c r="T292" i="24" s="1"/>
  <c r="J292" i="24" s="1"/>
  <c r="S276" i="24"/>
  <c r="T276" i="24" s="1"/>
  <c r="O276" i="24" s="1"/>
  <c r="S260" i="24"/>
  <c r="T260" i="24" s="1"/>
  <c r="O260" i="24" s="1"/>
  <c r="S244" i="24"/>
  <c r="T244" i="24" s="1"/>
  <c r="O244" i="24" s="1"/>
  <c r="S228" i="24"/>
  <c r="T228" i="24" s="1"/>
  <c r="J228" i="24" s="1"/>
  <c r="S171" i="24"/>
  <c r="T171" i="24" s="1"/>
  <c r="O171" i="24" s="1"/>
  <c r="S135" i="24"/>
  <c r="T135" i="24" s="1"/>
  <c r="J135" i="24" s="1"/>
  <c r="AI135" i="24" s="1"/>
  <c r="S298" i="24"/>
  <c r="T298" i="24" s="1"/>
  <c r="O298" i="24" s="1"/>
  <c r="S258" i="24"/>
  <c r="T258" i="24" s="1"/>
  <c r="J258" i="24" s="1"/>
  <c r="Q128" i="24"/>
  <c r="S128" i="24"/>
  <c r="T128" i="24" s="1"/>
  <c r="Q194" i="24"/>
  <c r="S194" i="24"/>
  <c r="T194" i="24" s="1"/>
  <c r="Q115" i="24"/>
  <c r="S115" i="24"/>
  <c r="T115" i="24" s="1"/>
  <c r="S189" i="24"/>
  <c r="T189" i="24" s="1"/>
  <c r="O189" i="24" s="1"/>
  <c r="Q161" i="24"/>
  <c r="S161" i="24"/>
  <c r="T161" i="24" s="1"/>
  <c r="Q122" i="24"/>
  <c r="S122" i="24"/>
  <c r="T122" i="24" s="1"/>
  <c r="S204" i="24"/>
  <c r="T204" i="24" s="1"/>
  <c r="O204" i="24" s="1"/>
  <c r="Q188" i="24"/>
  <c r="S188" i="24"/>
  <c r="T188" i="24" s="1"/>
  <c r="Q172" i="24"/>
  <c r="S172" i="24"/>
  <c r="T172" i="24" s="1"/>
  <c r="S156" i="24"/>
  <c r="T156" i="24" s="1"/>
  <c r="O156" i="24" s="1"/>
  <c r="S140" i="24"/>
  <c r="T140" i="24" s="1"/>
  <c r="J140" i="24" s="1"/>
  <c r="AI140" i="24" s="1"/>
  <c r="S311" i="24"/>
  <c r="T311" i="24" s="1"/>
  <c r="O311" i="24" s="1"/>
  <c r="S295" i="24"/>
  <c r="T295" i="24" s="1"/>
  <c r="O295" i="24" s="1"/>
  <c r="S279" i="24"/>
  <c r="T279" i="24" s="1"/>
  <c r="J279" i="24" s="1"/>
  <c r="S263" i="24"/>
  <c r="T263" i="24" s="1"/>
  <c r="O263" i="24" s="1"/>
  <c r="S247" i="24"/>
  <c r="T247" i="24" s="1"/>
  <c r="J247" i="24" s="1"/>
  <c r="S231" i="24"/>
  <c r="T231" i="24" s="1"/>
  <c r="O231" i="24" s="1"/>
  <c r="Q199" i="24"/>
  <c r="S199" i="24"/>
  <c r="T199" i="24" s="1"/>
  <c r="Q131" i="24"/>
  <c r="S131" i="24"/>
  <c r="T131" i="24" s="1"/>
  <c r="Q182" i="24"/>
  <c r="S182" i="24"/>
  <c r="T182" i="24" s="1"/>
  <c r="S289" i="24"/>
  <c r="T289" i="24" s="1"/>
  <c r="O289" i="24" s="1"/>
  <c r="S225" i="24"/>
  <c r="T225" i="24" s="1"/>
  <c r="O225" i="24" s="1"/>
  <c r="Q123" i="24"/>
  <c r="S123" i="24"/>
  <c r="T123" i="24" s="1"/>
  <c r="S316" i="24"/>
  <c r="T316" i="24" s="1"/>
  <c r="J316" i="24" s="1"/>
  <c r="S252" i="24"/>
  <c r="T252" i="24" s="1"/>
  <c r="O252" i="24" s="1"/>
  <c r="S151" i="24"/>
  <c r="T151" i="24" s="1"/>
  <c r="O151" i="24" s="1"/>
  <c r="S234" i="24"/>
  <c r="T234" i="24" s="1"/>
  <c r="J234" i="24" s="1"/>
  <c r="Q201" i="24"/>
  <c r="S201" i="24"/>
  <c r="T201" i="24" s="1"/>
  <c r="S114" i="24"/>
  <c r="T114" i="24" s="1"/>
  <c r="O114" i="24" s="1"/>
  <c r="S164" i="24"/>
  <c r="T164" i="24" s="1"/>
  <c r="J164" i="24" s="1"/>
  <c r="AI164" i="24" s="1"/>
  <c r="S303" i="24"/>
  <c r="T303" i="24" s="1"/>
  <c r="J303" i="24" s="1"/>
  <c r="S255" i="24"/>
  <c r="T255" i="24" s="1"/>
  <c r="O255" i="24" s="1"/>
  <c r="S117" i="24"/>
  <c r="T117" i="24" s="1"/>
  <c r="O117" i="24" s="1"/>
  <c r="S195" i="24"/>
  <c r="T195" i="24" s="1"/>
  <c r="O195" i="24" s="1"/>
  <c r="Q207" i="24"/>
  <c r="S207" i="24"/>
  <c r="T207" i="24" s="1"/>
  <c r="S147" i="24"/>
  <c r="T147" i="24" s="1"/>
  <c r="O147" i="24" s="1"/>
  <c r="S282" i="24"/>
  <c r="T282" i="24" s="1"/>
  <c r="O282" i="24" s="1"/>
  <c r="S226" i="24"/>
  <c r="T226" i="24" s="1"/>
  <c r="O226" i="24" s="1"/>
  <c r="Q186" i="24"/>
  <c r="S186" i="24"/>
  <c r="T186" i="24" s="1"/>
  <c r="Q170" i="24"/>
  <c r="S170" i="24"/>
  <c r="T170" i="24" s="1"/>
  <c r="Q154" i="24"/>
  <c r="S154" i="24"/>
  <c r="T154" i="24" s="1"/>
  <c r="S138" i="24"/>
  <c r="T138" i="24" s="1"/>
  <c r="J138" i="24" s="1"/>
  <c r="AI138" i="24" s="1"/>
  <c r="S309" i="24"/>
  <c r="T309" i="24" s="1"/>
  <c r="J309" i="24" s="1"/>
  <c r="S293" i="24"/>
  <c r="T293" i="24" s="1"/>
  <c r="J293" i="24" s="1"/>
  <c r="S277" i="24"/>
  <c r="T277" i="24" s="1"/>
  <c r="O277" i="24" s="1"/>
  <c r="S261" i="24"/>
  <c r="T261" i="24" s="1"/>
  <c r="O261" i="24" s="1"/>
  <c r="S245" i="24"/>
  <c r="T245" i="24" s="1"/>
  <c r="J245" i="24" s="1"/>
  <c r="S229" i="24"/>
  <c r="T229" i="24" s="1"/>
  <c r="J229" i="24" s="1"/>
  <c r="Q167" i="24"/>
  <c r="S167" i="24"/>
  <c r="T167" i="24" s="1"/>
  <c r="S290" i="24"/>
  <c r="T290" i="24" s="1"/>
  <c r="O290" i="24" s="1"/>
  <c r="S238" i="24"/>
  <c r="T238" i="24" s="1"/>
  <c r="O238" i="24" s="1"/>
  <c r="S190" i="24"/>
  <c r="T190" i="24" s="1"/>
  <c r="O190" i="24" s="1"/>
  <c r="S185" i="24"/>
  <c r="T185" i="24" s="1"/>
  <c r="O185" i="24" s="1"/>
  <c r="Q149" i="24"/>
  <c r="S149" i="24"/>
  <c r="T149" i="24" s="1"/>
  <c r="S133" i="24"/>
  <c r="T133" i="24" s="1"/>
  <c r="O133" i="24" s="1"/>
  <c r="S304" i="24"/>
  <c r="T304" i="24" s="1"/>
  <c r="J304" i="24" s="1"/>
  <c r="S288" i="24"/>
  <c r="T288" i="24" s="1"/>
  <c r="J288" i="24" s="1"/>
  <c r="S272" i="24"/>
  <c r="T272" i="24" s="1"/>
  <c r="J272" i="24" s="1"/>
  <c r="S256" i="24"/>
  <c r="T256" i="24" s="1"/>
  <c r="J256" i="24" s="1"/>
  <c r="S240" i="24"/>
  <c r="T240" i="24" s="1"/>
  <c r="J240" i="24" s="1"/>
  <c r="S224" i="24"/>
  <c r="T224" i="24" s="1"/>
  <c r="J224" i="24" s="1"/>
  <c r="Q159" i="24"/>
  <c r="S159" i="24"/>
  <c r="T159" i="24" s="1"/>
  <c r="S217" i="24"/>
  <c r="T217" i="24" s="1"/>
  <c r="O217" i="24" s="1"/>
  <c r="S286" i="24"/>
  <c r="T286" i="24" s="1"/>
  <c r="J286" i="24" s="1"/>
  <c r="S246" i="24"/>
  <c r="T246" i="24" s="1"/>
  <c r="O246" i="24" s="1"/>
  <c r="S124" i="24"/>
  <c r="T124" i="24" s="1"/>
  <c r="J124" i="24" s="1"/>
  <c r="AI124" i="24" s="1"/>
  <c r="Q112" i="24"/>
  <c r="S112" i="24"/>
  <c r="T112" i="24" s="1"/>
  <c r="Q205" i="24"/>
  <c r="S205" i="24"/>
  <c r="T205" i="24" s="1"/>
  <c r="Q181" i="24"/>
  <c r="S181" i="24"/>
  <c r="T181" i="24" s="1"/>
  <c r="Q157" i="24"/>
  <c r="S157" i="24"/>
  <c r="T157" i="24" s="1"/>
  <c r="S118" i="24"/>
  <c r="T118" i="24" s="1"/>
  <c r="J118" i="24" s="1"/>
  <c r="AI118" i="24" s="1"/>
  <c r="S200" i="24"/>
  <c r="T200" i="24" s="1"/>
  <c r="J200" i="24" s="1"/>
  <c r="AI200" i="24" s="1"/>
  <c r="S168" i="24"/>
  <c r="T168" i="24" s="1"/>
  <c r="O168" i="24" s="1"/>
  <c r="Q152" i="24"/>
  <c r="S152" i="24"/>
  <c r="T152" i="24" s="1"/>
  <c r="Q136" i="24"/>
  <c r="S136" i="24"/>
  <c r="T136" i="24" s="1"/>
  <c r="S307" i="24"/>
  <c r="T307" i="24" s="1"/>
  <c r="J307" i="24" s="1"/>
  <c r="S291" i="24"/>
  <c r="T291" i="24" s="1"/>
  <c r="O291" i="24" s="1"/>
  <c r="S275" i="24"/>
  <c r="T275" i="24" s="1"/>
  <c r="J275" i="24" s="1"/>
  <c r="S259" i="24"/>
  <c r="T259" i="24" s="1"/>
  <c r="J259" i="24" s="1"/>
  <c r="S243" i="24"/>
  <c r="T243" i="24" s="1"/>
  <c r="J243" i="24" s="1"/>
  <c r="S227" i="24"/>
  <c r="T227" i="24" s="1"/>
  <c r="J227" i="24" s="1"/>
  <c r="S191" i="24"/>
  <c r="T191" i="24" s="1"/>
  <c r="O191" i="24" s="1"/>
  <c r="S111" i="24"/>
  <c r="T111" i="24" s="1"/>
  <c r="J111" i="24" s="1"/>
  <c r="S166" i="24"/>
  <c r="T166" i="24" s="1"/>
  <c r="O166" i="24" s="1"/>
  <c r="Q134" i="24"/>
  <c r="S134" i="24"/>
  <c r="T134" i="24" s="1"/>
  <c r="S273" i="24"/>
  <c r="T273" i="24" s="1"/>
  <c r="J273" i="24" s="1"/>
  <c r="S241" i="24"/>
  <c r="T241" i="24" s="1"/>
  <c r="J241" i="24" s="1"/>
  <c r="S278" i="24"/>
  <c r="T278" i="24" s="1"/>
  <c r="O278" i="24" s="1"/>
  <c r="S173" i="24"/>
  <c r="T173" i="24" s="1"/>
  <c r="J173" i="24" s="1"/>
  <c r="AI173" i="24" s="1"/>
  <c r="S300" i="24"/>
  <c r="T300" i="24" s="1"/>
  <c r="J300" i="24" s="1"/>
  <c r="S268" i="24"/>
  <c r="T268" i="24" s="1"/>
  <c r="J268" i="24" s="1"/>
  <c r="S220" i="24"/>
  <c r="T220" i="24" s="1"/>
  <c r="J220" i="24" s="1"/>
  <c r="S274" i="24"/>
  <c r="T274" i="24" s="1"/>
  <c r="J274" i="24" s="1"/>
  <c r="S127" i="24"/>
  <c r="T127" i="24" s="1"/>
  <c r="J127" i="24" s="1"/>
  <c r="Q177" i="24"/>
  <c r="S177" i="24"/>
  <c r="T177" i="24" s="1"/>
  <c r="Q196" i="24"/>
  <c r="S196" i="24"/>
  <c r="T196" i="24" s="1"/>
  <c r="Q148" i="24"/>
  <c r="S148" i="24"/>
  <c r="T148" i="24" s="1"/>
  <c r="S287" i="24"/>
  <c r="T287" i="24" s="1"/>
  <c r="J287" i="24" s="1"/>
  <c r="S239" i="24"/>
  <c r="T239" i="24" s="1"/>
  <c r="J239" i="24" s="1"/>
  <c r="Q203" i="24"/>
  <c r="S203" i="24"/>
  <c r="T203" i="24" s="1"/>
  <c r="S129" i="24"/>
  <c r="T129" i="24" s="1"/>
  <c r="J129" i="24" s="1"/>
  <c r="AI129" i="24" s="1"/>
  <c r="Q179" i="24"/>
  <c r="S179" i="24"/>
  <c r="T179" i="24" s="1"/>
  <c r="S310" i="24"/>
  <c r="T310" i="24" s="1"/>
  <c r="J310" i="24" s="1"/>
  <c r="S250" i="24"/>
  <c r="T250" i="24" s="1"/>
  <c r="J250" i="24" s="1"/>
  <c r="S120" i="24"/>
  <c r="T120" i="24" s="1"/>
  <c r="O120" i="24" s="1"/>
  <c r="S178" i="24"/>
  <c r="T178" i="24" s="1"/>
  <c r="J178" i="24" s="1"/>
  <c r="AI178" i="24" s="1"/>
  <c r="Q162" i="24"/>
  <c r="S162" i="24"/>
  <c r="T162" i="24" s="1"/>
  <c r="S146" i="24"/>
  <c r="T146" i="24" s="1"/>
  <c r="O146" i="24" s="1"/>
  <c r="S218" i="24"/>
  <c r="T218" i="24" s="1"/>
  <c r="J218" i="24" s="1"/>
  <c r="S301" i="24"/>
  <c r="T301" i="24" s="1"/>
  <c r="J301" i="24" s="1"/>
  <c r="S285" i="24"/>
  <c r="T285" i="24" s="1"/>
  <c r="J285" i="24" s="1"/>
  <c r="S269" i="24"/>
  <c r="T269" i="24" s="1"/>
  <c r="O269" i="24" s="1"/>
  <c r="S253" i="24"/>
  <c r="T253" i="24" s="1"/>
  <c r="O253" i="24" s="1"/>
  <c r="S237" i="24"/>
  <c r="T237" i="24" s="1"/>
  <c r="O237" i="24" s="1"/>
  <c r="S221" i="24"/>
  <c r="T221" i="24" s="1"/>
  <c r="J221" i="24" s="1"/>
  <c r="S139" i="24"/>
  <c r="T139" i="24" s="1"/>
  <c r="O139" i="24" s="1"/>
  <c r="S266" i="24"/>
  <c r="T266" i="24" s="1"/>
  <c r="J266" i="24" s="1"/>
  <c r="Q116" i="24"/>
  <c r="S116" i="24"/>
  <c r="T116" i="24" s="1"/>
  <c r="S209" i="24"/>
  <c r="T209" i="24" s="1"/>
  <c r="O209" i="24" s="1"/>
  <c r="Q165" i="24"/>
  <c r="S165" i="24"/>
  <c r="T165" i="24" s="1"/>
  <c r="S312" i="24"/>
  <c r="T312" i="24" s="1"/>
  <c r="O312" i="24" s="1"/>
  <c r="S296" i="24"/>
  <c r="T296" i="24" s="1"/>
  <c r="O296" i="24" s="1"/>
  <c r="S280" i="24"/>
  <c r="T280" i="24" s="1"/>
  <c r="O280" i="24" s="1"/>
  <c r="S264" i="24"/>
  <c r="T264" i="24" s="1"/>
  <c r="J264" i="24" s="1"/>
  <c r="S248" i="24"/>
  <c r="T248" i="24" s="1"/>
  <c r="O248" i="24" s="1"/>
  <c r="S232" i="24"/>
  <c r="T232" i="24" s="1"/>
  <c r="O232" i="24" s="1"/>
  <c r="S175" i="24"/>
  <c r="T175" i="24" s="1"/>
  <c r="J175" i="24" s="1"/>
  <c r="AI175" i="24" s="1"/>
  <c r="S143" i="24"/>
  <c r="T143" i="24" s="1"/>
  <c r="O143" i="24" s="1"/>
  <c r="S302" i="24"/>
  <c r="T302" i="24" s="1"/>
  <c r="J302" i="24" s="1"/>
  <c r="S270" i="24"/>
  <c r="T270" i="24" s="1"/>
  <c r="O270" i="24" s="1"/>
  <c r="S222" i="24"/>
  <c r="T222" i="24" s="1"/>
  <c r="J222" i="24" s="1"/>
  <c r="Q206" i="24"/>
  <c r="S206" i="24"/>
  <c r="T206" i="24" s="1"/>
  <c r="Q119" i="24"/>
  <c r="S119" i="24"/>
  <c r="T119" i="24" s="1"/>
  <c r="S193" i="24"/>
  <c r="T193" i="24" s="1"/>
  <c r="O193" i="24" s="1"/>
  <c r="Q169" i="24"/>
  <c r="S169" i="24"/>
  <c r="T169" i="24" s="1"/>
  <c r="S126" i="24"/>
  <c r="T126" i="24" s="1"/>
  <c r="J126" i="24" s="1"/>
  <c r="AI126" i="24" s="1"/>
  <c r="Q208" i="24"/>
  <c r="S208" i="24"/>
  <c r="T208" i="24" s="1"/>
  <c r="Q192" i="24"/>
  <c r="S192" i="24"/>
  <c r="T192" i="24" s="1"/>
  <c r="S176" i="24"/>
  <c r="T176" i="24" s="1"/>
  <c r="O176" i="24" s="1"/>
  <c r="S160" i="24"/>
  <c r="T160" i="24" s="1"/>
  <c r="J160" i="24" s="1"/>
  <c r="AI160" i="24" s="1"/>
  <c r="S144" i="24"/>
  <c r="T144" i="24" s="1"/>
  <c r="O144" i="24" s="1"/>
  <c r="S315" i="24"/>
  <c r="T315" i="24" s="1"/>
  <c r="J315" i="24" s="1"/>
  <c r="S299" i="24"/>
  <c r="T299" i="24" s="1"/>
  <c r="O299" i="24" s="1"/>
  <c r="S283" i="24"/>
  <c r="T283" i="24" s="1"/>
  <c r="O283" i="24" s="1"/>
  <c r="S267" i="24"/>
  <c r="T267" i="24" s="1"/>
  <c r="O267" i="24" s="1"/>
  <c r="S251" i="24"/>
  <c r="T251" i="24" s="1"/>
  <c r="J251" i="24" s="1"/>
  <c r="S235" i="24"/>
  <c r="T235" i="24" s="1"/>
  <c r="J235" i="24" s="1"/>
  <c r="S219" i="24"/>
  <c r="T219" i="24" s="1"/>
  <c r="J219" i="24" s="1"/>
  <c r="CD21" i="24"/>
  <c r="CD88" i="24"/>
  <c r="CD72" i="24"/>
  <c r="CD56" i="24"/>
  <c r="CD40" i="24"/>
  <c r="CD24" i="24"/>
  <c r="CD8" i="24"/>
  <c r="CD31" i="24"/>
  <c r="CD15" i="24"/>
  <c r="CD102" i="24"/>
  <c r="CD86" i="24"/>
  <c r="CD38" i="24"/>
  <c r="CD22" i="24"/>
  <c r="CD85" i="24"/>
  <c r="CD25" i="24"/>
  <c r="CD9" i="24"/>
  <c r="CD76" i="24"/>
  <c r="CD44" i="24"/>
  <c r="CD28" i="24"/>
  <c r="CD12" i="24"/>
  <c r="CD99" i="24"/>
  <c r="CD83" i="24"/>
  <c r="CD19" i="24"/>
  <c r="CD41" i="24"/>
  <c r="CD26" i="24"/>
  <c r="CD10" i="24"/>
  <c r="Q285" i="24"/>
  <c r="Q299" i="24"/>
  <c r="Q264" i="24"/>
  <c r="CD65" i="24"/>
  <c r="CD33" i="24"/>
  <c r="CD17" i="24"/>
  <c r="CD100" i="24"/>
  <c r="CD52" i="24"/>
  <c r="CD101" i="24"/>
  <c r="CD37" i="24"/>
  <c r="CD91" i="24"/>
  <c r="CD75" i="24"/>
  <c r="CD59" i="24"/>
  <c r="CD43" i="24"/>
  <c r="CD27" i="24"/>
  <c r="CD11" i="24"/>
  <c r="CD69" i="24"/>
  <c r="CD66" i="24"/>
  <c r="CD34" i="24"/>
  <c r="CD18" i="24"/>
  <c r="Q237" i="24"/>
  <c r="Q269" i="24"/>
  <c r="Q251" i="24"/>
  <c r="Q219" i="24"/>
  <c r="Q296" i="24"/>
  <c r="Q302" i="24"/>
  <c r="Q221" i="24"/>
  <c r="Q253" i="24"/>
  <c r="Q266" i="24"/>
  <c r="CD57" i="24"/>
  <c r="CD29" i="24"/>
  <c r="CD13" i="24"/>
  <c r="CD96" i="24"/>
  <c r="CD80" i="24"/>
  <c r="CD64" i="24"/>
  <c r="CD48" i="24"/>
  <c r="CD32" i="24"/>
  <c r="CD16" i="24"/>
  <c r="CD103" i="24"/>
  <c r="CD71" i="24"/>
  <c r="CD55" i="24"/>
  <c r="CD39" i="24"/>
  <c r="CD23" i="24"/>
  <c r="CD7" i="24"/>
  <c r="CD53" i="24"/>
  <c r="CD62" i="24"/>
  <c r="CD46" i="24"/>
  <c r="CD30" i="24"/>
  <c r="CD14" i="24"/>
  <c r="Q267" i="24"/>
  <c r="Q232" i="24"/>
  <c r="Q270" i="24"/>
  <c r="Q315" i="24"/>
  <c r="Q303" i="24"/>
  <c r="Q316" i="24"/>
  <c r="Q278" i="24"/>
  <c r="Q241" i="24"/>
  <c r="Q239" i="24"/>
  <c r="Q223" i="24"/>
  <c r="Q287" i="24"/>
  <c r="Q252" i="24"/>
  <c r="Q262" i="24"/>
  <c r="Q314" i="24"/>
  <c r="Q271" i="24"/>
  <c r="Q236" i="24"/>
  <c r="Q301" i="24"/>
  <c r="Q250" i="24"/>
  <c r="Q280" i="24"/>
  <c r="Q218" i="24"/>
  <c r="Q306" i="24"/>
  <c r="Q295" i="24"/>
  <c r="Q249" i="24"/>
  <c r="Q313" i="24"/>
  <c r="Q260" i="24"/>
  <c r="Q281" i="24"/>
  <c r="Q242" i="24"/>
  <c r="Q220" i="24"/>
  <c r="Q308" i="24"/>
  <c r="Q273" i="24"/>
  <c r="Q305" i="24"/>
  <c r="Q234" i="24"/>
  <c r="Q298" i="24"/>
  <c r="Q268" i="24"/>
  <c r="Q244" i="24"/>
  <c r="Q297" i="24"/>
  <c r="Q258" i="24"/>
  <c r="Q311" i="24"/>
  <c r="Q294" i="24"/>
  <c r="Q231" i="24"/>
  <c r="Q247" i="24"/>
  <c r="Q276" i="24"/>
  <c r="P189" i="24"/>
  <c r="Q189" i="24"/>
  <c r="P124" i="24"/>
  <c r="Q124" i="24"/>
  <c r="P156" i="24"/>
  <c r="Q156" i="24"/>
  <c r="P193" i="24"/>
  <c r="Q193" i="24"/>
  <c r="Q217" i="24"/>
  <c r="Q275" i="24"/>
  <c r="Q240" i="24"/>
  <c r="Q304" i="24"/>
  <c r="Q245" i="24"/>
  <c r="Q238" i="24"/>
  <c r="P160" i="24"/>
  <c r="Q160" i="24"/>
  <c r="P143" i="24"/>
  <c r="Q143" i="24"/>
  <c r="P138" i="24"/>
  <c r="Q138" i="24"/>
  <c r="P140" i="24"/>
  <c r="Q140" i="24"/>
  <c r="P164" i="24"/>
  <c r="Q164" i="24"/>
  <c r="P121" i="24"/>
  <c r="Q121" i="24"/>
  <c r="P117" i="24"/>
  <c r="Q117" i="24"/>
  <c r="P175" i="24"/>
  <c r="Q175" i="24"/>
  <c r="P114" i="24"/>
  <c r="Q114" i="24"/>
  <c r="P132" i="24"/>
  <c r="Q132" i="24"/>
  <c r="P176" i="24"/>
  <c r="Q176" i="24"/>
  <c r="P120" i="24"/>
  <c r="Q120" i="24"/>
  <c r="P209" i="24"/>
  <c r="Q209" i="24"/>
  <c r="P191" i="24"/>
  <c r="Q191" i="24"/>
  <c r="P204" i="24"/>
  <c r="Q204" i="24"/>
  <c r="P147" i="24"/>
  <c r="Q147" i="24"/>
  <c r="P178" i="24"/>
  <c r="Q178" i="24"/>
  <c r="P151" i="24"/>
  <c r="Q151" i="24"/>
  <c r="P180" i="24"/>
  <c r="Q180" i="24"/>
  <c r="Q246" i="24"/>
  <c r="Q224" i="24"/>
  <c r="Q293" i="24"/>
  <c r="Q286" i="24"/>
  <c r="P141" i="24"/>
  <c r="Q141" i="24"/>
  <c r="P174" i="24"/>
  <c r="Q174" i="24"/>
  <c r="P133" i="24"/>
  <c r="Q133" i="24"/>
  <c r="P171" i="24"/>
  <c r="Q171" i="24"/>
  <c r="P111" i="24"/>
  <c r="Q111" i="24"/>
  <c r="P185" i="24"/>
  <c r="Q185" i="24"/>
  <c r="P173" i="24"/>
  <c r="Q173" i="24"/>
  <c r="P127" i="24"/>
  <c r="Q127" i="24"/>
  <c r="P198" i="24"/>
  <c r="Q198" i="24"/>
  <c r="P202" i="24"/>
  <c r="Q202" i="24"/>
  <c r="P153" i="24"/>
  <c r="Q153" i="24"/>
  <c r="P166" i="24"/>
  <c r="Q166" i="24"/>
  <c r="P129" i="24"/>
  <c r="Q129" i="24"/>
  <c r="P146" i="24"/>
  <c r="Q146" i="24"/>
  <c r="P113" i="24"/>
  <c r="Q113" i="24"/>
  <c r="P184" i="24"/>
  <c r="Q184" i="24"/>
  <c r="P168" i="24"/>
  <c r="Q168" i="24"/>
  <c r="P130" i="24"/>
  <c r="Q130" i="24"/>
  <c r="Q227" i="24"/>
  <c r="Q259" i="24"/>
  <c r="Q288" i="24"/>
  <c r="Q307" i="24"/>
  <c r="Q229" i="24"/>
  <c r="Q261" i="24"/>
  <c r="P195" i="24"/>
  <c r="Q195" i="24"/>
  <c r="P139" i="24"/>
  <c r="Q139" i="24"/>
  <c r="P190" i="24"/>
  <c r="Q190" i="24"/>
  <c r="P197" i="24"/>
  <c r="Q197" i="24"/>
  <c r="P118" i="24"/>
  <c r="Q118" i="24"/>
  <c r="P135" i="24"/>
  <c r="Q135" i="24"/>
  <c r="P158" i="24"/>
  <c r="Q158" i="24"/>
  <c r="P126" i="24"/>
  <c r="Q126" i="24"/>
  <c r="P200" i="24"/>
  <c r="Q200" i="24"/>
  <c r="P144" i="24"/>
  <c r="Q144" i="24"/>
  <c r="U203" i="24"/>
  <c r="U179" i="24"/>
  <c r="U162" i="24"/>
  <c r="U116" i="24"/>
  <c r="U165" i="24"/>
  <c r="U141" i="24"/>
  <c r="U206" i="24"/>
  <c r="V206" i="24" s="1"/>
  <c r="U119" i="24"/>
  <c r="V119" i="24" s="1"/>
  <c r="U169" i="24"/>
  <c r="U208" i="24"/>
  <c r="U192" i="24"/>
  <c r="U187" i="24"/>
  <c r="U125" i="24"/>
  <c r="U163" i="24"/>
  <c r="U142" i="24"/>
  <c r="V142" i="24" s="1"/>
  <c r="U183" i="24"/>
  <c r="U137" i="24"/>
  <c r="V137" i="24" s="1"/>
  <c r="U128" i="24"/>
  <c r="U194" i="24"/>
  <c r="U115" i="24"/>
  <c r="U161" i="24"/>
  <c r="V161" i="24" s="1"/>
  <c r="U122" i="24"/>
  <c r="V122" i="24" s="1"/>
  <c r="U188" i="24"/>
  <c r="V188" i="24" s="1"/>
  <c r="U172" i="24"/>
  <c r="U207" i="24"/>
  <c r="U186" i="24"/>
  <c r="U170" i="24"/>
  <c r="V170" i="24" s="1"/>
  <c r="U154" i="24"/>
  <c r="U167" i="24"/>
  <c r="U149" i="24"/>
  <c r="V149" i="24" s="1"/>
  <c r="U159" i="24"/>
  <c r="U112" i="24"/>
  <c r="U205" i="24"/>
  <c r="U181" i="24"/>
  <c r="V181" i="24" s="1"/>
  <c r="U157" i="24"/>
  <c r="V157" i="24" s="1"/>
  <c r="U184" i="24"/>
  <c r="V184" i="24" s="1"/>
  <c r="U152" i="24"/>
  <c r="U136" i="24"/>
  <c r="V136" i="24" s="1"/>
  <c r="U199" i="24"/>
  <c r="U131" i="24"/>
  <c r="U182" i="24"/>
  <c r="V182" i="24" s="1"/>
  <c r="U150" i="24"/>
  <c r="V150" i="24" s="1"/>
  <c r="U134" i="24"/>
  <c r="V134" i="24" s="1"/>
  <c r="U155" i="24"/>
  <c r="V155" i="24" s="1"/>
  <c r="U123" i="24"/>
  <c r="U145" i="24"/>
  <c r="V145" i="24" s="1"/>
  <c r="U210" i="24"/>
  <c r="V210" i="24" s="1"/>
  <c r="U201" i="24"/>
  <c r="U177" i="24"/>
  <c r="V177" i="24" s="1"/>
  <c r="U196" i="24"/>
  <c r="V196" i="24" s="1"/>
  <c r="U148" i="24"/>
  <c r="V148" i="24" s="1"/>
  <c r="T117" i="25"/>
  <c r="T126" i="25"/>
  <c r="T127" i="25"/>
  <c r="T133" i="25"/>
  <c r="T141" i="25"/>
  <c r="T149" i="25"/>
  <c r="T157" i="25"/>
  <c r="T165" i="25"/>
  <c r="T173" i="25"/>
  <c r="T181" i="25"/>
  <c r="T189" i="25"/>
  <c r="T197" i="25"/>
  <c r="T142" i="25"/>
  <c r="T158" i="25"/>
  <c r="T190" i="25"/>
  <c r="T278" i="25"/>
  <c r="T139" i="25"/>
  <c r="T155" i="25"/>
  <c r="T171" i="25"/>
  <c r="T187" i="25"/>
  <c r="T209" i="25"/>
  <c r="T203" i="25"/>
  <c r="T258" i="25"/>
  <c r="T208" i="25"/>
  <c r="T245" i="25"/>
  <c r="T316" i="25"/>
  <c r="T281" i="25"/>
  <c r="T288" i="25"/>
  <c r="T306" i="25"/>
  <c r="T125" i="25"/>
  <c r="T128" i="25"/>
  <c r="T176" i="25"/>
  <c r="T146" i="25"/>
  <c r="T260" i="25"/>
  <c r="T271" i="25"/>
  <c r="T310" i="25"/>
  <c r="T121" i="25"/>
  <c r="T124" i="25"/>
  <c r="T118" i="25"/>
  <c r="T273" i="25"/>
  <c r="T145" i="25"/>
  <c r="T169" i="25"/>
  <c r="T177" i="25"/>
  <c r="T150" i="25"/>
  <c r="T198" i="25"/>
  <c r="T229" i="25"/>
  <c r="T131" i="25"/>
  <c r="T147" i="25"/>
  <c r="T163" i="25"/>
  <c r="T195" i="25"/>
  <c r="T205" i="25"/>
  <c r="T234" i="25"/>
  <c r="T266" i="25"/>
  <c r="T200" i="25"/>
  <c r="T280" i="25"/>
  <c r="T275" i="25"/>
  <c r="T314" i="25"/>
  <c r="T152" i="25"/>
  <c r="T184" i="25"/>
  <c r="T162" i="25"/>
  <c r="T202" i="25"/>
  <c r="T207" i="25"/>
  <c r="T292" i="25"/>
  <c r="T113" i="25"/>
  <c r="T122" i="25"/>
  <c r="T277" i="25"/>
  <c r="T132" i="25"/>
  <c r="T148" i="25"/>
  <c r="T156" i="25"/>
  <c r="T172" i="25"/>
  <c r="T180" i="25"/>
  <c r="T188" i="25"/>
  <c r="T138" i="25"/>
  <c r="T170" i="25"/>
  <c r="T256" i="25"/>
  <c r="T151" i="25"/>
  <c r="T183" i="25"/>
  <c r="T204" i="25"/>
  <c r="T309" i="25"/>
  <c r="T279" i="25"/>
  <c r="T120" i="25"/>
  <c r="T114" i="25"/>
  <c r="T168" i="25"/>
  <c r="T192" i="25"/>
  <c r="U204" i="24"/>
  <c r="V204" i="24" s="1"/>
  <c r="U120" i="24"/>
  <c r="V120" i="24" s="1"/>
  <c r="U209" i="24"/>
  <c r="V209" i="24" s="1"/>
  <c r="U175" i="24"/>
  <c r="U113" i="24"/>
  <c r="U202" i="24"/>
  <c r="V202" i="24" s="1"/>
  <c r="U198" i="24"/>
  <c r="U153" i="24"/>
  <c r="V153" i="24" s="1"/>
  <c r="U176" i="24"/>
  <c r="T111" i="25"/>
  <c r="T123" i="25"/>
  <c r="T140" i="25"/>
  <c r="T167" i="25"/>
  <c r="T206" i="25"/>
  <c r="T274" i="25"/>
  <c r="T136" i="25"/>
  <c r="T144" i="25"/>
  <c r="U191" i="24"/>
  <c r="U166" i="24"/>
  <c r="V166" i="24" s="1"/>
  <c r="U173" i="24"/>
  <c r="U127" i="24"/>
  <c r="V127" i="24" s="1"/>
  <c r="U114" i="24"/>
  <c r="V114" i="24" s="1"/>
  <c r="U132" i="24"/>
  <c r="T112" i="25"/>
  <c r="T196" i="25"/>
  <c r="T186" i="25"/>
  <c r="T135" i="25"/>
  <c r="T199" i="25"/>
  <c r="T143" i="25"/>
  <c r="T210" i="25"/>
  <c r="U117" i="24"/>
  <c r="V117" i="24" s="1"/>
  <c r="U185" i="24"/>
  <c r="T129" i="25"/>
  <c r="T153" i="25"/>
  <c r="T166" i="25"/>
  <c r="T179" i="25"/>
  <c r="T222" i="25"/>
  <c r="T230" i="25"/>
  <c r="T217" i="25"/>
  <c r="T232" i="25"/>
  <c r="T240" i="25"/>
  <c r="T264" i="25"/>
  <c r="T224" i="25"/>
  <c r="T308" i="25"/>
  <c r="T238" i="25"/>
  <c r="T257" i="25"/>
  <c r="T294" i="25"/>
  <c r="T284" i="25"/>
  <c r="T300" i="25"/>
  <c r="T304" i="25"/>
  <c r="T225" i="25"/>
  <c r="T252" i="25"/>
  <c r="T246" i="25"/>
  <c r="T299" i="25"/>
  <c r="T276" i="25"/>
  <c r="T227" i="25"/>
  <c r="T270" i="25"/>
  <c r="T220" i="25"/>
  <c r="T298" i="25"/>
  <c r="T250" i="25"/>
  <c r="T286" i="25"/>
  <c r="T289" i="25"/>
  <c r="T311" i="25"/>
  <c r="T295" i="25"/>
  <c r="T243" i="25"/>
  <c r="T251" i="25"/>
  <c r="T228" i="25"/>
  <c r="T305" i="25"/>
  <c r="T219" i="25"/>
  <c r="T239" i="25"/>
  <c r="T263" i="25"/>
  <c r="T253" i="25"/>
  <c r="T303" i="25"/>
  <c r="U129" i="24"/>
  <c r="V129" i="24" s="1"/>
  <c r="U146" i="24"/>
  <c r="V146" i="24" s="1"/>
  <c r="U190" i="24"/>
  <c r="V190" i="24" s="1"/>
  <c r="U250" i="24"/>
  <c r="V250" i="24" s="1"/>
  <c r="U218" i="24"/>
  <c r="U301" i="24"/>
  <c r="V301" i="24" s="1"/>
  <c r="U285" i="24"/>
  <c r="V285" i="24" s="1"/>
  <c r="U269" i="24"/>
  <c r="V269" i="24" s="1"/>
  <c r="U253" i="24"/>
  <c r="V253" i="24" s="1"/>
  <c r="U237" i="24"/>
  <c r="U221" i="24"/>
  <c r="V221" i="24" s="1"/>
  <c r="U266" i="24"/>
  <c r="V266" i="24" s="1"/>
  <c r="U296" i="24"/>
  <c r="U280" i="24"/>
  <c r="V280" i="24" s="1"/>
  <c r="U264" i="24"/>
  <c r="U232" i="24"/>
  <c r="U143" i="24"/>
  <c r="U302" i="24"/>
  <c r="U270" i="24"/>
  <c r="U126" i="24"/>
  <c r="U144" i="24"/>
  <c r="V144" i="24" s="1"/>
  <c r="U315" i="24"/>
  <c r="V315" i="24" s="1"/>
  <c r="U299" i="24"/>
  <c r="U267" i="24"/>
  <c r="U251" i="24"/>
  <c r="V251" i="24" s="1"/>
  <c r="U219" i="24"/>
  <c r="V219" i="24" s="1"/>
  <c r="T164" i="25"/>
  <c r="T154" i="25"/>
  <c r="T248" i="25"/>
  <c r="T254" i="25"/>
  <c r="T283" i="25"/>
  <c r="T241" i="25"/>
  <c r="T293" i="25"/>
  <c r="T315" i="25"/>
  <c r="U158" i="24"/>
  <c r="U197" i="24"/>
  <c r="U135" i="24"/>
  <c r="V135" i="24" s="1"/>
  <c r="U189" i="24"/>
  <c r="T231" i="25"/>
  <c r="T290" i="25"/>
  <c r="T221" i="25"/>
  <c r="T242" i="25"/>
  <c r="T261" i="25"/>
  <c r="T272" i="25"/>
  <c r="T297" i="25"/>
  <c r="U147" i="24"/>
  <c r="U138" i="24"/>
  <c r="V138" i="24" s="1"/>
  <c r="U118" i="24"/>
  <c r="V118" i="24" s="1"/>
  <c r="U200" i="24"/>
  <c r="T236" i="25"/>
  <c r="T268" i="25"/>
  <c r="T282" i="25"/>
  <c r="T262" i="25"/>
  <c r="T233" i="25"/>
  <c r="T249" i="25"/>
  <c r="T265" i="25"/>
  <c r="T285" i="25"/>
  <c r="T312" i="25"/>
  <c r="T307" i="25"/>
  <c r="T302" i="25"/>
  <c r="N216" i="24"/>
  <c r="Q216" i="24" s="1"/>
  <c r="U216" i="24"/>
  <c r="V216" i="24" s="1"/>
  <c r="U312" i="24"/>
  <c r="U235" i="24"/>
  <c r="J77" i="23"/>
  <c r="L77" i="23" s="1"/>
  <c r="U294" i="24"/>
  <c r="U242" i="24"/>
  <c r="V242" i="24" s="1"/>
  <c r="U174" i="24"/>
  <c r="V174" i="24" s="1"/>
  <c r="U313" i="24"/>
  <c r="V313" i="24" s="1"/>
  <c r="U297" i="24"/>
  <c r="V297" i="24" s="1"/>
  <c r="U281" i="24"/>
  <c r="V281" i="24" s="1"/>
  <c r="U265" i="24"/>
  <c r="V265" i="24" s="1"/>
  <c r="U249" i="24"/>
  <c r="V249" i="24" s="1"/>
  <c r="U233" i="24"/>
  <c r="V233" i="24" s="1"/>
  <c r="U306" i="24"/>
  <c r="U254" i="24"/>
  <c r="U308" i="24"/>
  <c r="U292" i="24"/>
  <c r="V292" i="24" s="1"/>
  <c r="U276" i="24"/>
  <c r="U260" i="24"/>
  <c r="V260" i="24" s="1"/>
  <c r="U244" i="24"/>
  <c r="U228" i="24"/>
  <c r="V228" i="24" s="1"/>
  <c r="U171" i="24"/>
  <c r="V171" i="24" s="1"/>
  <c r="U298" i="24"/>
  <c r="V298" i="24" s="1"/>
  <c r="U258" i="24"/>
  <c r="V258" i="24" s="1"/>
  <c r="U156" i="24"/>
  <c r="U140" i="24"/>
  <c r="U311" i="24"/>
  <c r="V311" i="24" s="1"/>
  <c r="U295" i="24"/>
  <c r="V295" i="24" s="1"/>
  <c r="U279" i="24"/>
  <c r="U263" i="24"/>
  <c r="V263" i="24" s="1"/>
  <c r="U247" i="24"/>
  <c r="U231" i="24"/>
  <c r="T223" i="25"/>
  <c r="T235" i="25"/>
  <c r="T259" i="25"/>
  <c r="T267" i="25"/>
  <c r="T291" i="25"/>
  <c r="T301" i="25"/>
  <c r="O216" i="25"/>
  <c r="S216" i="25" s="1"/>
  <c r="K216" i="25" s="1"/>
  <c r="T216" i="25"/>
  <c r="U216" i="25" s="1"/>
  <c r="U283" i="24"/>
  <c r="V283" i="24" s="1"/>
  <c r="U282" i="24"/>
  <c r="V282" i="24" s="1"/>
  <c r="U226" i="24"/>
  <c r="V226" i="24" s="1"/>
  <c r="U309" i="24"/>
  <c r="U293" i="24"/>
  <c r="V293" i="24" s="1"/>
  <c r="U277" i="24"/>
  <c r="V277" i="24" s="1"/>
  <c r="U261" i="24"/>
  <c r="U245" i="24"/>
  <c r="U229" i="24"/>
  <c r="V229" i="24" s="1"/>
  <c r="U290" i="24"/>
  <c r="V290" i="24" s="1"/>
  <c r="U238" i="24"/>
  <c r="V238" i="24" s="1"/>
  <c r="U133" i="24"/>
  <c r="U304" i="24"/>
  <c r="U288" i="24"/>
  <c r="V288" i="24" s="1"/>
  <c r="U272" i="24"/>
  <c r="V272" i="24" s="1"/>
  <c r="U256" i="24"/>
  <c r="U240" i="24"/>
  <c r="V240" i="24" s="1"/>
  <c r="U224" i="24"/>
  <c r="V224" i="24" s="1"/>
  <c r="U217" i="24"/>
  <c r="V217" i="24" s="1"/>
  <c r="U286" i="24"/>
  <c r="U246" i="24"/>
  <c r="U307" i="24"/>
  <c r="V307" i="24" s="1"/>
  <c r="U291" i="24"/>
  <c r="V291" i="24" s="1"/>
  <c r="U275" i="24"/>
  <c r="V275" i="24" s="1"/>
  <c r="U259" i="24"/>
  <c r="V259" i="24" s="1"/>
  <c r="U243" i="24"/>
  <c r="U227" i="24"/>
  <c r="T218" i="25"/>
  <c r="T226" i="25"/>
  <c r="T269" i="25"/>
  <c r="T115" i="25"/>
  <c r="T194" i="25"/>
  <c r="T244" i="25"/>
  <c r="T287" i="25"/>
  <c r="T175" i="25"/>
  <c r="T191" i="25"/>
  <c r="U310" i="24"/>
  <c r="U248" i="24"/>
  <c r="V248" i="24" s="1"/>
  <c r="U222" i="24"/>
  <c r="U262" i="24"/>
  <c r="U111" i="24"/>
  <c r="U305" i="24"/>
  <c r="V305" i="24" s="1"/>
  <c r="U289" i="24"/>
  <c r="V289" i="24" s="1"/>
  <c r="U273" i="24"/>
  <c r="V273" i="24" s="1"/>
  <c r="U257" i="24"/>
  <c r="V257" i="24" s="1"/>
  <c r="U241" i="24"/>
  <c r="V241" i="24" s="1"/>
  <c r="U225" i="24"/>
  <c r="V225" i="24" s="1"/>
  <c r="U278" i="24"/>
  <c r="V278" i="24" s="1"/>
  <c r="U230" i="24"/>
  <c r="V230" i="24" s="1"/>
  <c r="U316" i="24"/>
  <c r="U300" i="24"/>
  <c r="U284" i="24"/>
  <c r="U268" i="24"/>
  <c r="V268" i="24" s="1"/>
  <c r="U252" i="24"/>
  <c r="V252" i="24" s="1"/>
  <c r="U236" i="24"/>
  <c r="V236" i="24" s="1"/>
  <c r="U220" i="24"/>
  <c r="V220" i="24" s="1"/>
  <c r="U314" i="24"/>
  <c r="U274" i="24"/>
  <c r="U234" i="24"/>
  <c r="V234" i="24" s="1"/>
  <c r="U303" i="24"/>
  <c r="V303" i="24" s="1"/>
  <c r="U287" i="24"/>
  <c r="V287" i="24" s="1"/>
  <c r="U271" i="24"/>
  <c r="V271" i="24" s="1"/>
  <c r="U255" i="24"/>
  <c r="U239" i="24"/>
  <c r="V239" i="24" s="1"/>
  <c r="U223" i="24"/>
  <c r="T119" i="25"/>
  <c r="T137" i="25"/>
  <c r="T193" i="25"/>
  <c r="T134" i="25"/>
  <c r="T247" i="25"/>
  <c r="T255" i="25"/>
  <c r="T237" i="25"/>
  <c r="T313" i="25"/>
  <c r="T296" i="25"/>
  <c r="BQ65" i="24"/>
  <c r="U65" i="24"/>
  <c r="V65" i="24" s="1"/>
  <c r="BQ17" i="24"/>
  <c r="U17" i="24"/>
  <c r="V17" i="24" s="1"/>
  <c r="BQ68" i="24"/>
  <c r="U68" i="24"/>
  <c r="BQ20" i="24"/>
  <c r="U20" i="24"/>
  <c r="BQ91" i="24"/>
  <c r="U91" i="24"/>
  <c r="BQ43" i="24"/>
  <c r="U43" i="24"/>
  <c r="BQ69" i="24"/>
  <c r="U69" i="24"/>
  <c r="V69" i="24" s="1"/>
  <c r="BQ66" i="24"/>
  <c r="U66" i="24"/>
  <c r="BQ50" i="24"/>
  <c r="U50" i="24"/>
  <c r="BQ18" i="24"/>
  <c r="U18" i="24"/>
  <c r="BQ97" i="24"/>
  <c r="U97" i="24"/>
  <c r="V97" i="24" s="1"/>
  <c r="BQ57" i="24"/>
  <c r="U57" i="24"/>
  <c r="BQ29" i="24"/>
  <c r="U29" i="24"/>
  <c r="BQ13" i="24"/>
  <c r="U13" i="24"/>
  <c r="BQ96" i="24"/>
  <c r="U96" i="24"/>
  <c r="BQ80" i="24"/>
  <c r="U80" i="24"/>
  <c r="V80" i="24" s="1"/>
  <c r="BQ64" i="24"/>
  <c r="U64" i="24"/>
  <c r="BQ48" i="24"/>
  <c r="U48" i="24"/>
  <c r="BQ32" i="24"/>
  <c r="U32" i="24"/>
  <c r="V32" i="24" s="1"/>
  <c r="BQ16" i="24"/>
  <c r="U16" i="24"/>
  <c r="BQ89" i="24"/>
  <c r="U89" i="24"/>
  <c r="V89" i="24" s="1"/>
  <c r="BQ103" i="24"/>
  <c r="U103" i="24"/>
  <c r="BQ87" i="24"/>
  <c r="U87" i="24"/>
  <c r="BQ71" i="24"/>
  <c r="U71" i="24"/>
  <c r="BQ55" i="24"/>
  <c r="U55" i="24"/>
  <c r="V55" i="24" s="1"/>
  <c r="BQ39" i="24"/>
  <c r="U39" i="24"/>
  <c r="BQ23" i="24"/>
  <c r="U23" i="24"/>
  <c r="BQ7" i="24"/>
  <c r="U7" i="24"/>
  <c r="BQ53" i="24"/>
  <c r="U53" i="24"/>
  <c r="BQ94" i="24"/>
  <c r="U94" i="24"/>
  <c r="BQ78" i="24"/>
  <c r="U78" i="24"/>
  <c r="BQ62" i="24"/>
  <c r="U62" i="24"/>
  <c r="BQ46" i="24"/>
  <c r="U46" i="24"/>
  <c r="BQ30" i="24"/>
  <c r="U30" i="24"/>
  <c r="BQ14" i="24"/>
  <c r="U14" i="24"/>
  <c r="BQ105" i="24"/>
  <c r="U105" i="24"/>
  <c r="BQ100" i="24"/>
  <c r="U100" i="24"/>
  <c r="BQ52" i="24"/>
  <c r="U52" i="24"/>
  <c r="BQ101" i="24"/>
  <c r="U101" i="24"/>
  <c r="V101" i="24" s="1"/>
  <c r="BQ59" i="24"/>
  <c r="U59" i="24"/>
  <c r="V59" i="24" s="1"/>
  <c r="BQ11" i="24"/>
  <c r="U11" i="24"/>
  <c r="V11" i="24" s="1"/>
  <c r="BQ82" i="24"/>
  <c r="U82" i="24"/>
  <c r="BQ34" i="24"/>
  <c r="U34" i="24"/>
  <c r="BQ85" i="24"/>
  <c r="U85" i="24"/>
  <c r="BQ49" i="24"/>
  <c r="U49" i="24"/>
  <c r="BQ25" i="24"/>
  <c r="U25" i="24"/>
  <c r="BQ9" i="24"/>
  <c r="U9" i="24"/>
  <c r="BQ92" i="24"/>
  <c r="U92" i="24"/>
  <c r="BQ76" i="24"/>
  <c r="U76" i="24"/>
  <c r="BQ60" i="24"/>
  <c r="U60" i="24"/>
  <c r="BQ44" i="24"/>
  <c r="U44" i="24"/>
  <c r="V44" i="24" s="1"/>
  <c r="BQ28" i="24"/>
  <c r="U28" i="24"/>
  <c r="BQ12" i="24"/>
  <c r="U12" i="24"/>
  <c r="BQ73" i="24"/>
  <c r="U73" i="24"/>
  <c r="BQ99" i="24"/>
  <c r="U99" i="24"/>
  <c r="BQ83" i="24"/>
  <c r="U83" i="24"/>
  <c r="BQ67" i="24"/>
  <c r="U67" i="24"/>
  <c r="BQ51" i="24"/>
  <c r="U51" i="24"/>
  <c r="V51" i="24" s="1"/>
  <c r="BQ35" i="24"/>
  <c r="U35" i="24"/>
  <c r="BQ19" i="24"/>
  <c r="U19" i="24"/>
  <c r="BQ93" i="24"/>
  <c r="U93" i="24"/>
  <c r="BQ41" i="24"/>
  <c r="U41" i="24"/>
  <c r="BQ90" i="24"/>
  <c r="U90" i="24"/>
  <c r="BQ74" i="24"/>
  <c r="U74" i="24"/>
  <c r="BQ58" i="24"/>
  <c r="U58" i="24"/>
  <c r="BQ42" i="24"/>
  <c r="U42" i="24"/>
  <c r="BQ26" i="24"/>
  <c r="U26" i="24"/>
  <c r="BQ10" i="24"/>
  <c r="U10" i="24"/>
  <c r="BQ33" i="24"/>
  <c r="U33" i="24"/>
  <c r="BQ84" i="24"/>
  <c r="U84" i="24"/>
  <c r="BQ36" i="24"/>
  <c r="U36" i="24"/>
  <c r="V36" i="24" s="1"/>
  <c r="BQ37" i="24"/>
  <c r="U37" i="24"/>
  <c r="BQ75" i="24"/>
  <c r="U75" i="24"/>
  <c r="BQ27" i="24"/>
  <c r="U27" i="24"/>
  <c r="BQ98" i="24"/>
  <c r="U98" i="24"/>
  <c r="V98" i="24" s="1"/>
  <c r="BQ77" i="24"/>
  <c r="U77" i="24"/>
  <c r="BQ45" i="24"/>
  <c r="U45" i="24"/>
  <c r="BQ21" i="24"/>
  <c r="U21" i="24"/>
  <c r="BQ104" i="24"/>
  <c r="U104" i="24"/>
  <c r="BQ88" i="24"/>
  <c r="U88" i="24"/>
  <c r="BQ72" i="24"/>
  <c r="U72" i="24"/>
  <c r="BQ56" i="24"/>
  <c r="U56" i="24"/>
  <c r="V56" i="24" s="1"/>
  <c r="BQ40" i="24"/>
  <c r="U40" i="24"/>
  <c r="BQ24" i="24"/>
  <c r="U24" i="24"/>
  <c r="BQ8" i="24"/>
  <c r="U8" i="24"/>
  <c r="BQ61" i="24"/>
  <c r="U61" i="24"/>
  <c r="BQ95" i="24"/>
  <c r="U95" i="24"/>
  <c r="BQ79" i="24"/>
  <c r="U79" i="24"/>
  <c r="BQ63" i="24"/>
  <c r="U63" i="24"/>
  <c r="BQ47" i="24"/>
  <c r="U47" i="24"/>
  <c r="BQ31" i="24"/>
  <c r="U31" i="24"/>
  <c r="BQ15" i="24"/>
  <c r="U15" i="24"/>
  <c r="BQ81" i="24"/>
  <c r="U81" i="24"/>
  <c r="BQ102" i="24"/>
  <c r="U102" i="24"/>
  <c r="V102" i="24" s="1"/>
  <c r="BQ86" i="24"/>
  <c r="U86" i="24"/>
  <c r="BQ70" i="24"/>
  <c r="U70" i="24"/>
  <c r="V70" i="24" s="1"/>
  <c r="BQ54" i="24"/>
  <c r="U54" i="24"/>
  <c r="BQ38" i="24"/>
  <c r="U38" i="24"/>
  <c r="BQ22" i="24"/>
  <c r="U22" i="24"/>
  <c r="V22" i="24" s="1"/>
  <c r="BQ6" i="24"/>
  <c r="U6" i="24"/>
  <c r="BP26" i="25"/>
  <c r="T26" i="25"/>
  <c r="BP36" i="25"/>
  <c r="T36" i="25"/>
  <c r="BP46" i="25"/>
  <c r="T46" i="25"/>
  <c r="BP41" i="25"/>
  <c r="T41" i="25"/>
  <c r="BP81" i="25"/>
  <c r="T81" i="25"/>
  <c r="BP16" i="25"/>
  <c r="T16" i="25"/>
  <c r="BP32" i="25"/>
  <c r="T32" i="25"/>
  <c r="BP52" i="25"/>
  <c r="T52" i="25"/>
  <c r="BP68" i="25"/>
  <c r="T68" i="25"/>
  <c r="BP84" i="25"/>
  <c r="T84" i="25"/>
  <c r="BP66" i="25"/>
  <c r="T66" i="25"/>
  <c r="BP82" i="25"/>
  <c r="T82" i="25"/>
  <c r="BP9" i="25"/>
  <c r="T9" i="25"/>
  <c r="BP17" i="25"/>
  <c r="T17" i="25"/>
  <c r="BP49" i="25"/>
  <c r="T49" i="25"/>
  <c r="BP73" i="25"/>
  <c r="T73" i="25"/>
  <c r="BP23" i="25"/>
  <c r="T23" i="25"/>
  <c r="BP43" i="25"/>
  <c r="T43" i="25"/>
  <c r="BP59" i="25"/>
  <c r="T59" i="25"/>
  <c r="BP75" i="25"/>
  <c r="T75" i="25"/>
  <c r="BP94" i="25"/>
  <c r="T94" i="25"/>
  <c r="BP98" i="25"/>
  <c r="T98" i="25"/>
  <c r="BP102" i="25"/>
  <c r="T102" i="25"/>
  <c r="BP14" i="25"/>
  <c r="T14" i="25"/>
  <c r="BP30" i="25"/>
  <c r="T30" i="25"/>
  <c r="BP37" i="25"/>
  <c r="T37" i="25"/>
  <c r="BP50" i="25"/>
  <c r="T50" i="25"/>
  <c r="BP45" i="25"/>
  <c r="T45" i="25"/>
  <c r="BP89" i="25"/>
  <c r="T89" i="25"/>
  <c r="BP20" i="25"/>
  <c r="T20" i="25"/>
  <c r="BP40" i="25"/>
  <c r="T40" i="25"/>
  <c r="BP56" i="25"/>
  <c r="T56" i="25"/>
  <c r="BP72" i="25"/>
  <c r="T72" i="25"/>
  <c r="BP88" i="25"/>
  <c r="T88" i="25"/>
  <c r="BP70" i="25"/>
  <c r="T70" i="25"/>
  <c r="BP86" i="25"/>
  <c r="T86" i="25"/>
  <c r="BP10" i="25"/>
  <c r="T10" i="25"/>
  <c r="BP25" i="25"/>
  <c r="T25" i="25"/>
  <c r="BP57" i="25"/>
  <c r="T57" i="25"/>
  <c r="BP77" i="25"/>
  <c r="T77" i="25"/>
  <c r="BP27" i="25"/>
  <c r="T27" i="25"/>
  <c r="BP47" i="25"/>
  <c r="T47" i="25"/>
  <c r="BP63" i="25"/>
  <c r="T63" i="25"/>
  <c r="BP79" i="25"/>
  <c r="T79" i="25"/>
  <c r="BP91" i="25"/>
  <c r="T91" i="25"/>
  <c r="BP95" i="25"/>
  <c r="T95" i="25"/>
  <c r="BP99" i="25"/>
  <c r="T99" i="25"/>
  <c r="BP103" i="25"/>
  <c r="T103" i="25"/>
  <c r="BP18" i="25"/>
  <c r="T18" i="25"/>
  <c r="BP38" i="25"/>
  <c r="T38" i="25"/>
  <c r="BP58" i="25"/>
  <c r="T58" i="25"/>
  <c r="BP53" i="25"/>
  <c r="T53" i="25"/>
  <c r="BP24" i="25"/>
  <c r="T24" i="25"/>
  <c r="BP60" i="25"/>
  <c r="T60" i="25"/>
  <c r="BP76" i="25"/>
  <c r="T76" i="25"/>
  <c r="BP54" i="25"/>
  <c r="T54" i="25"/>
  <c r="BP74" i="25"/>
  <c r="T74" i="25"/>
  <c r="BP90" i="25"/>
  <c r="T90" i="25"/>
  <c r="BP11" i="25"/>
  <c r="T11" i="25"/>
  <c r="BP29" i="25"/>
  <c r="T29" i="25"/>
  <c r="BP61" i="25"/>
  <c r="T61" i="25"/>
  <c r="BP15" i="25"/>
  <c r="T15" i="25"/>
  <c r="BP31" i="25"/>
  <c r="T31" i="25"/>
  <c r="BP51" i="25"/>
  <c r="T51" i="25"/>
  <c r="BP67" i="25"/>
  <c r="T67" i="25"/>
  <c r="BP83" i="25"/>
  <c r="T83" i="25"/>
  <c r="BP92" i="25"/>
  <c r="T92" i="25"/>
  <c r="BP96" i="25"/>
  <c r="T96" i="25"/>
  <c r="BP100" i="25"/>
  <c r="T100" i="25"/>
  <c r="BP104" i="25"/>
  <c r="T104" i="25"/>
  <c r="BP34" i="25"/>
  <c r="T34" i="25"/>
  <c r="BP44" i="25"/>
  <c r="T44" i="25"/>
  <c r="BP85" i="25"/>
  <c r="T85" i="25"/>
  <c r="BP22" i="25"/>
  <c r="T22" i="25"/>
  <c r="BP35" i="25"/>
  <c r="T35" i="25"/>
  <c r="BP42" i="25"/>
  <c r="T42" i="25"/>
  <c r="BP21" i="25"/>
  <c r="T21" i="25"/>
  <c r="BP69" i="25"/>
  <c r="T69" i="25"/>
  <c r="BP12" i="25"/>
  <c r="T12" i="25"/>
  <c r="BP28" i="25"/>
  <c r="T28" i="25"/>
  <c r="BP48" i="25"/>
  <c r="T48" i="25"/>
  <c r="BP64" i="25"/>
  <c r="T64" i="25"/>
  <c r="BP80" i="25"/>
  <c r="T80" i="25"/>
  <c r="BP62" i="25"/>
  <c r="T62" i="25"/>
  <c r="BP78" i="25"/>
  <c r="T78" i="25"/>
  <c r="BP8" i="25"/>
  <c r="T8" i="25"/>
  <c r="BP13" i="25"/>
  <c r="T13" i="25"/>
  <c r="BP33" i="25"/>
  <c r="T33" i="25"/>
  <c r="BP65" i="25"/>
  <c r="T65" i="25"/>
  <c r="BP19" i="25"/>
  <c r="T19" i="25"/>
  <c r="BP39" i="25"/>
  <c r="T39" i="25"/>
  <c r="BP55" i="25"/>
  <c r="T55" i="25"/>
  <c r="BP71" i="25"/>
  <c r="T71" i="25"/>
  <c r="BP87" i="25"/>
  <c r="T87" i="25"/>
  <c r="BP93" i="25"/>
  <c r="T93" i="25"/>
  <c r="BP97" i="25"/>
  <c r="T97" i="25"/>
  <c r="BP101" i="25"/>
  <c r="T101" i="25"/>
  <c r="BP105" i="25"/>
  <c r="T105" i="25"/>
  <c r="U195" i="24"/>
  <c r="U124" i="24"/>
  <c r="U168" i="24"/>
  <c r="V168" i="24" s="1"/>
  <c r="T116" i="25"/>
  <c r="T174" i="25"/>
  <c r="T201" i="25"/>
  <c r="O110" i="25"/>
  <c r="Q110" i="25" s="1"/>
  <c r="CE110" i="25" s="1"/>
  <c r="U121" i="24"/>
  <c r="V121" i="24" s="1"/>
  <c r="U151" i="24"/>
  <c r="V151" i="24" s="1"/>
  <c r="U130" i="24"/>
  <c r="V130" i="24" s="1"/>
  <c r="U180" i="24"/>
  <c r="U164" i="24"/>
  <c r="V164" i="24" s="1"/>
  <c r="T160" i="25"/>
  <c r="T130" i="25"/>
  <c r="T178" i="25"/>
  <c r="T159" i="25"/>
  <c r="U178" i="24"/>
  <c r="V178" i="24" s="1"/>
  <c r="U139" i="24"/>
  <c r="V139" i="24" s="1"/>
  <c r="U193" i="24"/>
  <c r="U160" i="24"/>
  <c r="T161" i="25"/>
  <c r="T185" i="25"/>
  <c r="T182" i="25"/>
  <c r="W44" i="2"/>
  <c r="D45" i="16" s="1"/>
  <c r="R10" i="25"/>
  <c r="R80" i="25"/>
  <c r="Q9" i="25"/>
  <c r="Q53" i="25"/>
  <c r="Q18" i="25"/>
  <c r="R146" i="25"/>
  <c r="Q57" i="25"/>
  <c r="R55" i="25"/>
  <c r="R113" i="25"/>
  <c r="Q94" i="25"/>
  <c r="R52" i="25"/>
  <c r="R93" i="25"/>
  <c r="Q12" i="25"/>
  <c r="Q118" i="25"/>
  <c r="R32" i="25"/>
  <c r="R59" i="25"/>
  <c r="R150" i="25"/>
  <c r="R104" i="25"/>
  <c r="Q111" i="25"/>
  <c r="Q89" i="25"/>
  <c r="Q165" i="25"/>
  <c r="R155" i="25"/>
  <c r="R65" i="25"/>
  <c r="Q13" i="25"/>
  <c r="R31" i="25"/>
  <c r="Q172" i="25"/>
  <c r="Q176" i="25"/>
  <c r="B25" i="2"/>
  <c r="Q66" i="25"/>
  <c r="R210" i="25"/>
  <c r="Q35" i="25"/>
  <c r="R69" i="25"/>
  <c r="R76" i="25"/>
  <c r="Q37" i="25"/>
  <c r="R51" i="25"/>
  <c r="R84" i="25"/>
  <c r="R105" i="25"/>
  <c r="Q120" i="25"/>
  <c r="Q99" i="25"/>
  <c r="Q29" i="25"/>
  <c r="Q98" i="25"/>
  <c r="R131" i="25"/>
  <c r="R54" i="25"/>
  <c r="Q137" i="25"/>
  <c r="Q34" i="25"/>
  <c r="R103" i="25"/>
  <c r="Q20" i="25"/>
  <c r="Q63" i="25"/>
  <c r="R33" i="25"/>
  <c r="R91" i="25"/>
  <c r="R119" i="25"/>
  <c r="R58" i="25"/>
  <c r="R6" i="25"/>
  <c r="R90" i="25"/>
  <c r="Q16" i="25"/>
  <c r="R41" i="25"/>
  <c r="Q81" i="25"/>
  <c r="R82" i="25"/>
  <c r="R44" i="25"/>
  <c r="R130" i="25"/>
  <c r="Q115" i="25"/>
  <c r="R209" i="25"/>
  <c r="Q50" i="25"/>
  <c r="Q64" i="25"/>
  <c r="R132" i="25"/>
  <c r="Q61" i="25"/>
  <c r="Q157" i="25"/>
  <c r="Q122" i="25"/>
  <c r="R127" i="25"/>
  <c r="Q182" i="25"/>
  <c r="R152" i="25"/>
  <c r="Q126" i="25"/>
  <c r="R144" i="25"/>
  <c r="R128" i="25"/>
  <c r="Q139" i="25"/>
  <c r="R161" i="25"/>
  <c r="Q133" i="25"/>
  <c r="Q158" i="25"/>
  <c r="Q167" i="25"/>
  <c r="R206" i="25"/>
  <c r="Q177" i="25"/>
  <c r="Q198" i="25"/>
  <c r="R185" i="25"/>
  <c r="R129" i="25"/>
  <c r="Q123" i="25"/>
  <c r="R123" i="25"/>
  <c r="R169" i="25"/>
  <c r="Q175" i="25"/>
  <c r="R124" i="25"/>
  <c r="Q204" i="25"/>
  <c r="R200" i="25"/>
  <c r="R162" i="25"/>
  <c r="R134" i="25"/>
  <c r="Q171" i="25"/>
  <c r="R148" i="25"/>
  <c r="R72" i="25"/>
  <c r="Q170" i="25"/>
  <c r="R142" i="25"/>
  <c r="Q71" i="25"/>
  <c r="R114" i="25"/>
  <c r="R203" i="25"/>
  <c r="Q62" i="25"/>
  <c r="Q159" i="25"/>
  <c r="R85" i="25"/>
  <c r="R87" i="25"/>
  <c r="Q156" i="25"/>
  <c r="R178" i="25"/>
  <c r="R163" i="25"/>
  <c r="Q192" i="25"/>
  <c r="R36" i="25"/>
  <c r="R100" i="25"/>
  <c r="R96" i="25"/>
  <c r="R183" i="25"/>
  <c r="R8" i="25"/>
  <c r="R38" i="25"/>
  <c r="Q7" i="25"/>
  <c r="R208" i="25"/>
  <c r="Q46" i="25"/>
  <c r="Q140" i="25"/>
  <c r="Q141" i="25"/>
  <c r="R207" i="25"/>
  <c r="R168" i="25"/>
  <c r="Q17" i="25"/>
  <c r="R153" i="25"/>
  <c r="Q39" i="25"/>
  <c r="Q73" i="25"/>
  <c r="R116" i="25"/>
  <c r="R86" i="25"/>
  <c r="R125" i="25"/>
  <c r="Q189" i="25"/>
  <c r="R75" i="25"/>
  <c r="R166" i="25"/>
  <c r="R188" i="25"/>
  <c r="R196" i="25"/>
  <c r="R22" i="25"/>
  <c r="R47" i="25"/>
  <c r="R70" i="25"/>
  <c r="R14" i="25"/>
  <c r="Q42" i="25"/>
  <c r="R143" i="25"/>
  <c r="R197" i="25"/>
  <c r="R195" i="25"/>
  <c r="R187" i="25"/>
  <c r="Q30" i="25"/>
  <c r="Q67" i="25"/>
  <c r="Q160" i="25"/>
  <c r="R74" i="25"/>
  <c r="R56" i="25"/>
  <c r="R83" i="25"/>
  <c r="Q101" i="25"/>
  <c r="Q79" i="25"/>
  <c r="Q194" i="25"/>
  <c r="R43" i="25"/>
  <c r="Q138" i="25"/>
  <c r="Q49" i="25"/>
  <c r="Q68" i="25"/>
  <c r="R45" i="25"/>
  <c r="R88" i="25"/>
  <c r="Q25" i="25"/>
  <c r="Q136" i="25"/>
  <c r="R190" i="25"/>
  <c r="R26" i="25"/>
  <c r="Q151" i="25"/>
  <c r="R179" i="25"/>
  <c r="Q24" i="25"/>
  <c r="Q173" i="25"/>
  <c r="Q112" i="25"/>
  <c r="Q48" i="25"/>
  <c r="Q147" i="25"/>
  <c r="R121" i="25"/>
  <c r="Q202" i="25"/>
  <c r="R40" i="25"/>
  <c r="Q191" i="25"/>
  <c r="Q149" i="25"/>
  <c r="R193" i="25"/>
  <c r="Q201" i="25"/>
  <c r="R205" i="25"/>
  <c r="R174" i="25"/>
  <c r="R181" i="25"/>
  <c r="R21" i="25"/>
  <c r="R15" i="25"/>
  <c r="Q60" i="25"/>
  <c r="Q180" i="25"/>
  <c r="R23" i="25"/>
  <c r="R164" i="25"/>
  <c r="R78" i="25"/>
  <c r="Q27" i="25"/>
  <c r="R117" i="25"/>
  <c r="R77" i="25"/>
  <c r="Q102" i="25"/>
  <c r="R92" i="25"/>
  <c r="Q199" i="25"/>
  <c r="R28" i="25"/>
  <c r="R184" i="25"/>
  <c r="R11" i="25"/>
  <c r="Q95" i="25"/>
  <c r="Q145" i="25"/>
  <c r="Q19" i="25"/>
  <c r="R97" i="25"/>
  <c r="Q135" i="25"/>
  <c r="R154" i="25"/>
  <c r="R186" i="25"/>
  <c r="P9" i="25"/>
  <c r="P13" i="25"/>
  <c r="P17" i="25"/>
  <c r="P21" i="25"/>
  <c r="P25" i="25"/>
  <c r="P29" i="25"/>
  <c r="P33" i="25"/>
  <c r="P37" i="25"/>
  <c r="P41" i="25"/>
  <c r="P45" i="25"/>
  <c r="P49" i="25"/>
  <c r="P53" i="25"/>
  <c r="P57" i="25"/>
  <c r="P61" i="25"/>
  <c r="P65" i="25"/>
  <c r="P69" i="25"/>
  <c r="P73" i="25"/>
  <c r="P77" i="25"/>
  <c r="P81" i="25"/>
  <c r="P85" i="25"/>
  <c r="P89" i="25"/>
  <c r="P93" i="25"/>
  <c r="P97" i="25"/>
  <c r="P101" i="25"/>
  <c r="P105" i="25"/>
  <c r="P113" i="25"/>
  <c r="P117" i="25"/>
  <c r="P121" i="25"/>
  <c r="P125" i="25"/>
  <c r="P129" i="25"/>
  <c r="P133" i="25"/>
  <c r="P137" i="25"/>
  <c r="P141" i="25"/>
  <c r="P145" i="25"/>
  <c r="P149" i="25"/>
  <c r="P153" i="25"/>
  <c r="P157" i="25"/>
  <c r="P161" i="25"/>
  <c r="P165" i="25"/>
  <c r="P169" i="25"/>
  <c r="P173" i="25"/>
  <c r="P177" i="25"/>
  <c r="P181" i="25"/>
  <c r="P185" i="25"/>
  <c r="P189" i="25"/>
  <c r="P193" i="25"/>
  <c r="P197" i="25"/>
  <c r="P201" i="25"/>
  <c r="P205" i="25"/>
  <c r="P209" i="25"/>
  <c r="P6" i="25"/>
  <c r="P10" i="25"/>
  <c r="P14" i="25"/>
  <c r="P18" i="25"/>
  <c r="P22" i="25"/>
  <c r="P26" i="25"/>
  <c r="P30" i="25"/>
  <c r="P34" i="25"/>
  <c r="P38" i="25"/>
  <c r="P42" i="25"/>
  <c r="P46" i="25"/>
  <c r="P50" i="25"/>
  <c r="P54" i="25"/>
  <c r="P58" i="25"/>
  <c r="P62" i="25"/>
  <c r="P66" i="25"/>
  <c r="P70" i="25"/>
  <c r="P74" i="25"/>
  <c r="P78" i="25"/>
  <c r="P82" i="25"/>
  <c r="P86" i="25"/>
  <c r="P90" i="25"/>
  <c r="P94" i="25"/>
  <c r="P98" i="25"/>
  <c r="P102" i="25"/>
  <c r="P110" i="25"/>
  <c r="P114" i="25"/>
  <c r="P118" i="25"/>
  <c r="P122" i="25"/>
  <c r="P126" i="25"/>
  <c r="P130" i="25"/>
  <c r="P134" i="25"/>
  <c r="P138" i="25"/>
  <c r="P142" i="25"/>
  <c r="P146" i="25"/>
  <c r="P150" i="25"/>
  <c r="P154" i="25"/>
  <c r="P158" i="25"/>
  <c r="P162" i="25"/>
  <c r="P166" i="25"/>
  <c r="P170" i="25"/>
  <c r="P174" i="25"/>
  <c r="P178" i="25"/>
  <c r="P7" i="25"/>
  <c r="P11" i="25"/>
  <c r="P15" i="25"/>
  <c r="P19" i="25"/>
  <c r="P23" i="25"/>
  <c r="P27" i="25"/>
  <c r="P31" i="25"/>
  <c r="P35" i="25"/>
  <c r="P39" i="25"/>
  <c r="P43" i="25"/>
  <c r="P47" i="25"/>
  <c r="P51" i="25"/>
  <c r="P55" i="25"/>
  <c r="P59" i="25"/>
  <c r="P63" i="25"/>
  <c r="P67" i="25"/>
  <c r="P71" i="25"/>
  <c r="P75" i="25"/>
  <c r="P79" i="25"/>
  <c r="P83" i="25"/>
  <c r="P87" i="25"/>
  <c r="P91" i="25"/>
  <c r="P95" i="25"/>
  <c r="P99" i="25"/>
  <c r="P103" i="25"/>
  <c r="P111" i="25"/>
  <c r="P115" i="25"/>
  <c r="P119" i="25"/>
  <c r="P123" i="25"/>
  <c r="P127" i="25"/>
  <c r="P131" i="25"/>
  <c r="P135" i="25"/>
  <c r="P139" i="25"/>
  <c r="P143" i="25"/>
  <c r="P147" i="25"/>
  <c r="P151" i="25"/>
  <c r="P155" i="25"/>
  <c r="P159" i="25"/>
  <c r="P163" i="25"/>
  <c r="P167" i="25"/>
  <c r="P171" i="25"/>
  <c r="P175" i="25"/>
  <c r="P179" i="25"/>
  <c r="P183" i="25"/>
  <c r="P187" i="25"/>
  <c r="P191" i="25"/>
  <c r="P195" i="25"/>
  <c r="P199" i="25"/>
  <c r="P203" i="25"/>
  <c r="P207" i="25"/>
  <c r="P216" i="25"/>
  <c r="P220" i="25"/>
  <c r="P224" i="25"/>
  <c r="P228" i="25"/>
  <c r="P232" i="25"/>
  <c r="P236" i="25"/>
  <c r="P240" i="25"/>
  <c r="P244" i="25"/>
  <c r="P248" i="25"/>
  <c r="P252" i="25"/>
  <c r="P20" i="25"/>
  <c r="P36" i="25"/>
  <c r="P52" i="25"/>
  <c r="P68" i="25"/>
  <c r="P84" i="25"/>
  <c r="P100" i="25"/>
  <c r="P120" i="25"/>
  <c r="P136" i="25"/>
  <c r="P152" i="25"/>
  <c r="P168" i="25"/>
  <c r="P182" i="25"/>
  <c r="P190" i="25"/>
  <c r="P198" i="25"/>
  <c r="P206" i="25"/>
  <c r="P218" i="25"/>
  <c r="P223" i="25"/>
  <c r="P229" i="25"/>
  <c r="P234" i="25"/>
  <c r="P239" i="25"/>
  <c r="P245" i="25"/>
  <c r="P250" i="25"/>
  <c r="P255" i="25"/>
  <c r="P259" i="25"/>
  <c r="P263" i="25"/>
  <c r="P267" i="25"/>
  <c r="P271" i="25"/>
  <c r="P275" i="25"/>
  <c r="P279" i="25"/>
  <c r="P283" i="25"/>
  <c r="P287" i="25"/>
  <c r="P291" i="25"/>
  <c r="P295" i="25"/>
  <c r="P299" i="25"/>
  <c r="P303" i="25"/>
  <c r="P307" i="25"/>
  <c r="P311" i="25"/>
  <c r="P315" i="25"/>
  <c r="P8" i="25"/>
  <c r="P56" i="25"/>
  <c r="P88" i="25"/>
  <c r="P140" i="25"/>
  <c r="P184" i="25"/>
  <c r="P208" i="25"/>
  <c r="P225" i="25"/>
  <c r="P246" i="25"/>
  <c r="P260" i="25"/>
  <c r="P268" i="25"/>
  <c r="P280" i="25"/>
  <c r="P292" i="25"/>
  <c r="P304" i="25"/>
  <c r="P316" i="25"/>
  <c r="P12" i="25"/>
  <c r="P28" i="25"/>
  <c r="P44" i="25"/>
  <c r="P60" i="25"/>
  <c r="P76" i="25"/>
  <c r="P92" i="25"/>
  <c r="P112" i="25"/>
  <c r="P128" i="25"/>
  <c r="P144" i="25"/>
  <c r="P160" i="25"/>
  <c r="P176" i="25"/>
  <c r="P186" i="25"/>
  <c r="P194" i="25"/>
  <c r="P202" i="25"/>
  <c r="P210" i="25"/>
  <c r="P221" i="25"/>
  <c r="P226" i="25"/>
  <c r="P231" i="25"/>
  <c r="P237" i="25"/>
  <c r="P242" i="25"/>
  <c r="P247" i="25"/>
  <c r="P253" i="25"/>
  <c r="P257" i="25"/>
  <c r="P261" i="25"/>
  <c r="P265" i="25"/>
  <c r="P269" i="25"/>
  <c r="P273" i="25"/>
  <c r="P277" i="25"/>
  <c r="P281" i="25"/>
  <c r="P285" i="25"/>
  <c r="P289" i="25"/>
  <c r="P293" i="25"/>
  <c r="P297" i="25"/>
  <c r="P301" i="25"/>
  <c r="P305" i="25"/>
  <c r="P309" i="25"/>
  <c r="P313" i="25"/>
  <c r="P5" i="25"/>
  <c r="P302" i="25"/>
  <c r="P24" i="25"/>
  <c r="P72" i="25"/>
  <c r="P124" i="25"/>
  <c r="P156" i="25"/>
  <c r="P192" i="25"/>
  <c r="P219" i="25"/>
  <c r="P230" i="25"/>
  <c r="P241" i="25"/>
  <c r="P256" i="25"/>
  <c r="P264" i="25"/>
  <c r="P276" i="25"/>
  <c r="P284" i="25"/>
  <c r="P296" i="25"/>
  <c r="P308" i="25"/>
  <c r="P312" i="25"/>
  <c r="P16" i="25"/>
  <c r="P32" i="25"/>
  <c r="P48" i="25"/>
  <c r="P64" i="25"/>
  <c r="P80" i="25"/>
  <c r="P96" i="25"/>
  <c r="P116" i="25"/>
  <c r="P132" i="25"/>
  <c r="P148" i="25"/>
  <c r="P164" i="25"/>
  <c r="P180" i="25"/>
  <c r="P188" i="25"/>
  <c r="P196" i="25"/>
  <c r="P204" i="25"/>
  <c r="P217" i="25"/>
  <c r="P222" i="25"/>
  <c r="P227" i="25"/>
  <c r="P233" i="25"/>
  <c r="P238" i="25"/>
  <c r="P243" i="25"/>
  <c r="P249" i="25"/>
  <c r="P254" i="25"/>
  <c r="P258" i="25"/>
  <c r="P262" i="25"/>
  <c r="P266" i="25"/>
  <c r="P270" i="25"/>
  <c r="P274" i="25"/>
  <c r="P278" i="25"/>
  <c r="P282" i="25"/>
  <c r="P286" i="25"/>
  <c r="P290" i="25"/>
  <c r="P294" i="25"/>
  <c r="P298" i="25"/>
  <c r="P306" i="25"/>
  <c r="P310" i="25"/>
  <c r="P314" i="25"/>
  <c r="P40" i="25"/>
  <c r="P104" i="25"/>
  <c r="P172" i="25"/>
  <c r="P200" i="25"/>
  <c r="P235" i="25"/>
  <c r="P251" i="25"/>
  <c r="P272" i="25"/>
  <c r="P288" i="25"/>
  <c r="P300" i="25"/>
  <c r="O5" i="25"/>
  <c r="CB18" i="25"/>
  <c r="CB38" i="25"/>
  <c r="CB58" i="25"/>
  <c r="CB53" i="25"/>
  <c r="CB24" i="25"/>
  <c r="CB60" i="25"/>
  <c r="CB76" i="25"/>
  <c r="CB74" i="25"/>
  <c r="CB90" i="25"/>
  <c r="CB11" i="25"/>
  <c r="CB61" i="25"/>
  <c r="CB85" i="25"/>
  <c r="CB31" i="25"/>
  <c r="CB67" i="25"/>
  <c r="CB83" i="25"/>
  <c r="CB92" i="25"/>
  <c r="CB100" i="25"/>
  <c r="CB22" i="25"/>
  <c r="CB42" i="25"/>
  <c r="CB69" i="25"/>
  <c r="CB28" i="25"/>
  <c r="CB64" i="25"/>
  <c r="CB13" i="25"/>
  <c r="CB33" i="25"/>
  <c r="CB65" i="25"/>
  <c r="CB19" i="25"/>
  <c r="CB55" i="25"/>
  <c r="CB71" i="25"/>
  <c r="CB87" i="25"/>
  <c r="CB97" i="25"/>
  <c r="CB105" i="25"/>
  <c r="CB26" i="25"/>
  <c r="CB36" i="25"/>
  <c r="CB46" i="25"/>
  <c r="CB41" i="25"/>
  <c r="CB81" i="25"/>
  <c r="CB16" i="25"/>
  <c r="CB32" i="25"/>
  <c r="CB52" i="25"/>
  <c r="CB68" i="25"/>
  <c r="CB84" i="25"/>
  <c r="CB66" i="25"/>
  <c r="CB82" i="25"/>
  <c r="CB9" i="25"/>
  <c r="CB17" i="25"/>
  <c r="CB49" i="25"/>
  <c r="CB73" i="25"/>
  <c r="CB23" i="25"/>
  <c r="CB43" i="25"/>
  <c r="CB59" i="25"/>
  <c r="CB75" i="25"/>
  <c r="CB94" i="25"/>
  <c r="CB98" i="25"/>
  <c r="CB102" i="25"/>
  <c r="CB34" i="25"/>
  <c r="CB44" i="25"/>
  <c r="CB54" i="25"/>
  <c r="CB29" i="25"/>
  <c r="CB15" i="25"/>
  <c r="CB51" i="25"/>
  <c r="CB96" i="25"/>
  <c r="CB104" i="25"/>
  <c r="CB35" i="25"/>
  <c r="CB21" i="25"/>
  <c r="CB12" i="25"/>
  <c r="CB48" i="25"/>
  <c r="CB80" i="25"/>
  <c r="CB62" i="25"/>
  <c r="CB78" i="25"/>
  <c r="CB8" i="25"/>
  <c r="CB39" i="25"/>
  <c r="CB93" i="25"/>
  <c r="CB101" i="25"/>
  <c r="CB14" i="25"/>
  <c r="CB30" i="25"/>
  <c r="CB37" i="25"/>
  <c r="CB50" i="25"/>
  <c r="CB45" i="25"/>
  <c r="CB89" i="25"/>
  <c r="CB20" i="25"/>
  <c r="CB40" i="25"/>
  <c r="CB56" i="25"/>
  <c r="CB72" i="25"/>
  <c r="CB88" i="25"/>
  <c r="CB70" i="25"/>
  <c r="CB86" i="25"/>
  <c r="CB10" i="25"/>
  <c r="CB25" i="25"/>
  <c r="CB57" i="25"/>
  <c r="CB77" i="25"/>
  <c r="CB27" i="25"/>
  <c r="CB47" i="25"/>
  <c r="CB63" i="25"/>
  <c r="CB79" i="25"/>
  <c r="CB91" i="25"/>
  <c r="CB95" i="25"/>
  <c r="CB99" i="25"/>
  <c r="CB103" i="25"/>
  <c r="AY7" i="19"/>
  <c r="BD7" i="19" s="1"/>
  <c r="BN7" i="19"/>
  <c r="AY8" i="19"/>
  <c r="BC8" i="19" s="1"/>
  <c r="BN8" i="19"/>
  <c r="AY6" i="19"/>
  <c r="BJ6" i="19" s="1"/>
  <c r="BN6" i="19"/>
  <c r="AY9" i="19"/>
  <c r="BN9" i="19"/>
  <c r="BC7" i="19"/>
  <c r="R313" i="25"/>
  <c r="Q313" i="25"/>
  <c r="R256" i="25"/>
  <c r="Q256" i="25"/>
  <c r="R291" i="25"/>
  <c r="Q291" i="25"/>
  <c r="R259" i="25"/>
  <c r="Q259" i="25"/>
  <c r="R218" i="25"/>
  <c r="Q218" i="25"/>
  <c r="R226" i="25"/>
  <c r="Q226" i="25"/>
  <c r="R309" i="25"/>
  <c r="Q309" i="25"/>
  <c r="R277" i="25"/>
  <c r="Q277" i="25"/>
  <c r="R287" i="25"/>
  <c r="Q287" i="25"/>
  <c r="R255" i="25"/>
  <c r="Q255" i="25"/>
  <c r="R223" i="25"/>
  <c r="Q223" i="25"/>
  <c r="R296" i="25"/>
  <c r="Q296" i="25"/>
  <c r="R267" i="25"/>
  <c r="Q267" i="25"/>
  <c r="R235" i="25"/>
  <c r="Q235" i="25"/>
  <c r="R285" i="25"/>
  <c r="Q285" i="25"/>
  <c r="R221" i="25"/>
  <c r="Q221" i="25"/>
  <c r="R231" i="25"/>
  <c r="Q231" i="25"/>
  <c r="R281" i="25"/>
  <c r="Q281" i="25"/>
  <c r="R249" i="25"/>
  <c r="Q249" i="25"/>
  <c r="R217" i="25"/>
  <c r="Q217" i="25"/>
  <c r="R288" i="25"/>
  <c r="Q288" i="25"/>
  <c r="R224" i="25"/>
  <c r="Q224" i="25"/>
  <c r="R227" i="25"/>
  <c r="Q227" i="25"/>
  <c r="R298" i="25"/>
  <c r="Q298" i="25"/>
  <c r="R245" i="25"/>
  <c r="Q245" i="25"/>
  <c r="R316" i="25"/>
  <c r="Q316" i="25"/>
  <c r="R284" i="25"/>
  <c r="Q284" i="25"/>
  <c r="R252" i="25"/>
  <c r="Q252" i="25"/>
  <c r="R220" i="25"/>
  <c r="Q220" i="25"/>
  <c r="R294" i="25"/>
  <c r="Q294" i="25"/>
  <c r="R278" i="25"/>
  <c r="Q278" i="25"/>
  <c r="R270" i="25"/>
  <c r="Q270" i="25"/>
  <c r="R289" i="25"/>
  <c r="Q289" i="25"/>
  <c r="R257" i="25"/>
  <c r="Q257" i="25"/>
  <c r="R225" i="25"/>
  <c r="Q225" i="25"/>
  <c r="R264" i="25"/>
  <c r="Q264" i="25"/>
  <c r="R232" i="25"/>
  <c r="Q232" i="25"/>
  <c r="R299" i="25"/>
  <c r="Q299" i="25"/>
  <c r="R306" i="25"/>
  <c r="Q306" i="25"/>
  <c r="R250" i="25"/>
  <c r="Q250" i="25"/>
  <c r="R258" i="25"/>
  <c r="Q258" i="25"/>
  <c r="R301" i="25"/>
  <c r="Q301" i="25"/>
  <c r="R269" i="25"/>
  <c r="Q269" i="25"/>
  <c r="R237" i="25"/>
  <c r="Q237" i="25"/>
  <c r="R244" i="25"/>
  <c r="Q244" i="25"/>
  <c r="R279" i="25"/>
  <c r="Q279" i="25"/>
  <c r="R247" i="25"/>
  <c r="Q247" i="25"/>
  <c r="R302" i="25"/>
  <c r="Q302" i="25"/>
  <c r="R234" i="25"/>
  <c r="Q234" i="25"/>
  <c r="R242" i="25"/>
  <c r="Q242" i="25"/>
  <c r="R304" i="25"/>
  <c r="Q304" i="25"/>
  <c r="R240" i="25"/>
  <c r="Q240" i="25"/>
  <c r="R243" i="25"/>
  <c r="Q243" i="25"/>
  <c r="R230" i="25"/>
  <c r="Q230" i="25"/>
  <c r="R222" i="25"/>
  <c r="Q222" i="25"/>
  <c r="R300" i="25"/>
  <c r="Q300" i="25"/>
  <c r="R303" i="25"/>
  <c r="Q303" i="25"/>
  <c r="R271" i="25"/>
  <c r="Q271" i="25"/>
  <c r="R239" i="25"/>
  <c r="Q239" i="25"/>
  <c r="R310" i="25"/>
  <c r="Q310" i="25"/>
  <c r="R274" i="25"/>
  <c r="Q274" i="25"/>
  <c r="R305" i="25"/>
  <c r="Q305" i="25"/>
  <c r="R251" i="25"/>
  <c r="Q251" i="25"/>
  <c r="R219" i="25"/>
  <c r="Q219" i="25"/>
  <c r="R308" i="25"/>
  <c r="Q308" i="25"/>
  <c r="R276" i="25"/>
  <c r="Q276" i="25"/>
  <c r="R311" i="25"/>
  <c r="Q311" i="25"/>
  <c r="R297" i="25"/>
  <c r="Q297" i="25"/>
  <c r="R265" i="25"/>
  <c r="Q265" i="25"/>
  <c r="R233" i="25"/>
  <c r="Q233" i="25"/>
  <c r="R272" i="25"/>
  <c r="Q272" i="25"/>
  <c r="R307" i="25"/>
  <c r="Q307" i="25"/>
  <c r="R275" i="25"/>
  <c r="Q275" i="25"/>
  <c r="R314" i="25"/>
  <c r="Q314" i="25"/>
  <c r="R282" i="25"/>
  <c r="Q282" i="25"/>
  <c r="R293" i="25"/>
  <c r="Q293" i="25"/>
  <c r="R261" i="25"/>
  <c r="Q261" i="25"/>
  <c r="R229" i="25"/>
  <c r="Q229" i="25"/>
  <c r="R268" i="25"/>
  <c r="Q268" i="25"/>
  <c r="R236" i="25"/>
  <c r="Q236" i="25"/>
  <c r="R266" i="25"/>
  <c r="Q266" i="25"/>
  <c r="R273" i="25"/>
  <c r="Q273" i="25"/>
  <c r="R241" i="25"/>
  <c r="Q241" i="25"/>
  <c r="R312" i="25"/>
  <c r="Q312" i="25"/>
  <c r="R280" i="25"/>
  <c r="Q280" i="25"/>
  <c r="R248" i="25"/>
  <c r="Q248" i="25"/>
  <c r="R315" i="25"/>
  <c r="Q315" i="25"/>
  <c r="R283" i="25"/>
  <c r="Q283" i="25"/>
  <c r="R290" i="25"/>
  <c r="Q290" i="25"/>
  <c r="R262" i="25"/>
  <c r="Q262" i="25"/>
  <c r="R254" i="25"/>
  <c r="Q254" i="25"/>
  <c r="R253" i="25"/>
  <c r="Q253" i="25"/>
  <c r="R292" i="25"/>
  <c r="Q292" i="25"/>
  <c r="R260" i="25"/>
  <c r="Q260" i="25"/>
  <c r="R228" i="25"/>
  <c r="Q228" i="25"/>
  <c r="R295" i="25"/>
  <c r="Q295" i="25"/>
  <c r="R263" i="25"/>
  <c r="Q263" i="25"/>
  <c r="R286" i="25"/>
  <c r="Q286" i="25"/>
  <c r="R246" i="25"/>
  <c r="Q246" i="25"/>
  <c r="R238" i="25"/>
  <c r="Q238" i="25"/>
  <c r="AL34" i="25"/>
  <c r="H34" i="25"/>
  <c r="AH34" i="25" s="1"/>
  <c r="S34" i="25"/>
  <c r="K34" i="25" s="1"/>
  <c r="AL58" i="25"/>
  <c r="H58" i="25"/>
  <c r="AH58" i="25" s="1"/>
  <c r="S58" i="25"/>
  <c r="K58" i="25" s="1"/>
  <c r="H121" i="25"/>
  <c r="AH121" i="25" s="1"/>
  <c r="AL121" i="25"/>
  <c r="S121" i="25"/>
  <c r="K121" i="25" s="1"/>
  <c r="AL44" i="25"/>
  <c r="H44" i="25"/>
  <c r="AH44" i="25" s="1"/>
  <c r="S44" i="25"/>
  <c r="K44" i="25" s="1"/>
  <c r="AL76" i="25"/>
  <c r="H76" i="25"/>
  <c r="AH76" i="25" s="1"/>
  <c r="S76" i="25"/>
  <c r="K76" i="25" s="1"/>
  <c r="AL74" i="25"/>
  <c r="H74" i="25"/>
  <c r="AH74" i="25" s="1"/>
  <c r="S74" i="25"/>
  <c r="K74" i="25" s="1"/>
  <c r="AL124" i="25"/>
  <c r="H124" i="25"/>
  <c r="AH124" i="25" s="1"/>
  <c r="S124" i="25"/>
  <c r="K124" i="25" s="1"/>
  <c r="AL17" i="25"/>
  <c r="H17" i="25"/>
  <c r="AH17" i="25" s="1"/>
  <c r="S17" i="25"/>
  <c r="K17" i="25" s="1"/>
  <c r="AL73" i="25"/>
  <c r="H73" i="25"/>
  <c r="AH73" i="25" s="1"/>
  <c r="S73" i="25"/>
  <c r="K73" i="25" s="1"/>
  <c r="AL23" i="25"/>
  <c r="H23" i="25"/>
  <c r="AH23" i="25" s="1"/>
  <c r="S23" i="25"/>
  <c r="K23" i="25" s="1"/>
  <c r="AL43" i="25"/>
  <c r="H43" i="25"/>
  <c r="AH43" i="25" s="1"/>
  <c r="S43" i="25"/>
  <c r="K43" i="25" s="1"/>
  <c r="AL75" i="25"/>
  <c r="H75" i="25"/>
  <c r="AH75" i="25" s="1"/>
  <c r="S75" i="25"/>
  <c r="K75" i="25" s="1"/>
  <c r="H223" i="25"/>
  <c r="AH223" i="25" s="1"/>
  <c r="AL223" i="25"/>
  <c r="S223" i="25"/>
  <c r="K223" i="25" s="1"/>
  <c r="H290" i="25"/>
  <c r="AH290" i="25" s="1"/>
  <c r="AL290" i="25"/>
  <c r="S290" i="25"/>
  <c r="K290" i="25" s="1"/>
  <c r="AL98" i="25"/>
  <c r="H98" i="25"/>
  <c r="AH98" i="25" s="1"/>
  <c r="S98" i="25"/>
  <c r="K98" i="25" s="1"/>
  <c r="AL111" i="25"/>
  <c r="H111" i="25"/>
  <c r="AH111" i="25" s="1"/>
  <c r="S111" i="25"/>
  <c r="K111" i="25" s="1"/>
  <c r="H133" i="25"/>
  <c r="AH133" i="25" s="1"/>
  <c r="AL133" i="25"/>
  <c r="S133" i="25"/>
  <c r="K133" i="25" s="1"/>
  <c r="H141" i="25"/>
  <c r="AH141" i="25" s="1"/>
  <c r="AL141" i="25"/>
  <c r="S141" i="25"/>
  <c r="K141" i="25" s="1"/>
  <c r="H157" i="25"/>
  <c r="AH157" i="25" s="1"/>
  <c r="AL157" i="25"/>
  <c r="S157" i="25"/>
  <c r="K157" i="25" s="1"/>
  <c r="H173" i="25"/>
  <c r="AH173" i="25" s="1"/>
  <c r="AL173" i="25"/>
  <c r="S173" i="25"/>
  <c r="K173" i="25" s="1"/>
  <c r="H197" i="25"/>
  <c r="AH197" i="25" s="1"/>
  <c r="AL197" i="25"/>
  <c r="S197" i="25"/>
  <c r="K197" i="25" s="1"/>
  <c r="H158" i="25"/>
  <c r="AH158" i="25" s="1"/>
  <c r="AL158" i="25"/>
  <c r="S158" i="25"/>
  <c r="K158" i="25" s="1"/>
  <c r="H190" i="25"/>
  <c r="AH190" i="25" s="1"/>
  <c r="AL190" i="25"/>
  <c r="S190" i="25"/>
  <c r="K190" i="25" s="1"/>
  <c r="H235" i="25"/>
  <c r="AH235" i="25" s="1"/>
  <c r="AL235" i="25"/>
  <c r="S235" i="25"/>
  <c r="K235" i="25" s="1"/>
  <c r="H251" i="25"/>
  <c r="AH251" i="25" s="1"/>
  <c r="AL251" i="25"/>
  <c r="S251" i="25"/>
  <c r="K251" i="25" s="1"/>
  <c r="H267" i="25"/>
  <c r="AH267" i="25" s="1"/>
  <c r="AL267" i="25"/>
  <c r="S267" i="25"/>
  <c r="K267" i="25" s="1"/>
  <c r="AL155" i="25"/>
  <c r="H155" i="25"/>
  <c r="AH155" i="25" s="1"/>
  <c r="S155" i="25"/>
  <c r="K155" i="25" s="1"/>
  <c r="AL187" i="25"/>
  <c r="H187" i="25"/>
  <c r="AH187" i="25" s="1"/>
  <c r="S187" i="25"/>
  <c r="K187" i="25" s="1"/>
  <c r="AL201" i="25"/>
  <c r="H201" i="25"/>
  <c r="AH201" i="25" s="1"/>
  <c r="S201" i="25"/>
  <c r="K201" i="25" s="1"/>
  <c r="AL316" i="25"/>
  <c r="H316" i="25"/>
  <c r="AH316" i="25" s="1"/>
  <c r="S316" i="25"/>
  <c r="K316" i="25" s="1"/>
  <c r="AL14" i="25"/>
  <c r="H14" i="25"/>
  <c r="AH14" i="25" s="1"/>
  <c r="S14" i="25"/>
  <c r="K14" i="25" s="1"/>
  <c r="AL30" i="25"/>
  <c r="H30" i="25"/>
  <c r="AH30" i="25" s="1"/>
  <c r="S30" i="25"/>
  <c r="K30" i="25" s="1"/>
  <c r="AL37" i="25"/>
  <c r="H37" i="25"/>
  <c r="AH37" i="25" s="1"/>
  <c r="S37" i="25"/>
  <c r="K37" i="25" s="1"/>
  <c r="AL50" i="25"/>
  <c r="H50" i="25"/>
  <c r="AH50" i="25" s="1"/>
  <c r="S50" i="25"/>
  <c r="K50" i="25" s="1"/>
  <c r="AL45" i="25"/>
  <c r="H45" i="25"/>
  <c r="AH45" i="25" s="1"/>
  <c r="S45" i="25"/>
  <c r="K45" i="25" s="1"/>
  <c r="AL89" i="25"/>
  <c r="H89" i="25"/>
  <c r="AH89" i="25" s="1"/>
  <c r="S89" i="25"/>
  <c r="K89" i="25" s="1"/>
  <c r="AL20" i="25"/>
  <c r="H20" i="25"/>
  <c r="AH20" i="25" s="1"/>
  <c r="S20" i="25"/>
  <c r="K20" i="25" s="1"/>
  <c r="AL40" i="25"/>
  <c r="H40" i="25"/>
  <c r="AH40" i="25" s="1"/>
  <c r="S40" i="25"/>
  <c r="K40" i="25" s="1"/>
  <c r="AL56" i="25"/>
  <c r="H56" i="25"/>
  <c r="AH56" i="25" s="1"/>
  <c r="S56" i="25"/>
  <c r="K56" i="25" s="1"/>
  <c r="AL72" i="25"/>
  <c r="H72" i="25"/>
  <c r="AH72" i="25" s="1"/>
  <c r="S72" i="25"/>
  <c r="K72" i="25" s="1"/>
  <c r="AL88" i="25"/>
  <c r="H88" i="25"/>
  <c r="AH88" i="25" s="1"/>
  <c r="S88" i="25"/>
  <c r="K88" i="25" s="1"/>
  <c r="AL70" i="25"/>
  <c r="H70" i="25"/>
  <c r="AH70" i="25" s="1"/>
  <c r="S70" i="25"/>
  <c r="K70" i="25" s="1"/>
  <c r="AL86" i="25"/>
  <c r="H86" i="25"/>
  <c r="AH86" i="25" s="1"/>
  <c r="S86" i="25"/>
  <c r="K86" i="25" s="1"/>
  <c r="AL120" i="25"/>
  <c r="H120" i="25"/>
  <c r="AH120" i="25" s="1"/>
  <c r="S120" i="25"/>
  <c r="K120" i="25" s="1"/>
  <c r="H8" i="25"/>
  <c r="AH8" i="25" s="1"/>
  <c r="AL8" i="25"/>
  <c r="S8" i="25"/>
  <c r="K8" i="25" s="1"/>
  <c r="AL13" i="25"/>
  <c r="H13" i="25"/>
  <c r="AH13" i="25" s="1"/>
  <c r="S13" i="25"/>
  <c r="K13" i="25" s="1"/>
  <c r="AL33" i="25"/>
  <c r="H33" i="25"/>
  <c r="AH33" i="25" s="1"/>
  <c r="S33" i="25"/>
  <c r="K33" i="25" s="1"/>
  <c r="AL65" i="25"/>
  <c r="H65" i="25"/>
  <c r="AH65" i="25" s="1"/>
  <c r="S65" i="25"/>
  <c r="K65" i="25" s="1"/>
  <c r="H113" i="25"/>
  <c r="AH113" i="25" s="1"/>
  <c r="AL113" i="25"/>
  <c r="S113" i="25"/>
  <c r="K113" i="25" s="1"/>
  <c r="AL19" i="25"/>
  <c r="H19" i="25"/>
  <c r="AH19" i="25" s="1"/>
  <c r="S19" i="25"/>
  <c r="K19" i="25" s="1"/>
  <c r="AL39" i="25"/>
  <c r="H39" i="25"/>
  <c r="AH39" i="25" s="1"/>
  <c r="S39" i="25"/>
  <c r="K39" i="25" s="1"/>
  <c r="AL55" i="25"/>
  <c r="H55" i="25"/>
  <c r="AH55" i="25" s="1"/>
  <c r="S55" i="25"/>
  <c r="K55" i="25" s="1"/>
  <c r="AL71" i="25"/>
  <c r="H71" i="25"/>
  <c r="AH71" i="25" s="1"/>
  <c r="S71" i="25"/>
  <c r="K71" i="25" s="1"/>
  <c r="AL87" i="25"/>
  <c r="H87" i="25"/>
  <c r="AH87" i="25" s="1"/>
  <c r="S87" i="25"/>
  <c r="K87" i="25" s="1"/>
  <c r="H122" i="25"/>
  <c r="AH122" i="25" s="1"/>
  <c r="AL122" i="25"/>
  <c r="S122" i="25"/>
  <c r="K122" i="25" s="1"/>
  <c r="H222" i="25"/>
  <c r="AH222" i="25" s="1"/>
  <c r="AL222" i="25"/>
  <c r="S222" i="25"/>
  <c r="K222" i="25" s="1"/>
  <c r="H230" i="25"/>
  <c r="AH230" i="25" s="1"/>
  <c r="AL230" i="25"/>
  <c r="S230" i="25"/>
  <c r="K230" i="25" s="1"/>
  <c r="AL277" i="25"/>
  <c r="H277" i="25"/>
  <c r="AH277" i="25" s="1"/>
  <c r="S277" i="25"/>
  <c r="K277" i="25" s="1"/>
  <c r="AL93" i="25"/>
  <c r="H93" i="25"/>
  <c r="AH93" i="25" s="1"/>
  <c r="S93" i="25"/>
  <c r="K93" i="25" s="1"/>
  <c r="AL97" i="25"/>
  <c r="H97" i="25"/>
  <c r="AH97" i="25" s="1"/>
  <c r="S97" i="25"/>
  <c r="K97" i="25" s="1"/>
  <c r="AL101" i="25"/>
  <c r="H101" i="25"/>
  <c r="AH101" i="25" s="1"/>
  <c r="S101" i="25"/>
  <c r="K101" i="25" s="1"/>
  <c r="AL105" i="25"/>
  <c r="H105" i="25"/>
  <c r="AH105" i="25" s="1"/>
  <c r="S105" i="25"/>
  <c r="K105" i="25" s="1"/>
  <c r="AL123" i="25"/>
  <c r="H123" i="25"/>
  <c r="AH123" i="25" s="1"/>
  <c r="S123" i="25"/>
  <c r="K123" i="25" s="1"/>
  <c r="AL132" i="25"/>
  <c r="H132" i="25"/>
  <c r="AH132" i="25" s="1"/>
  <c r="S132" i="25"/>
  <c r="K132" i="25" s="1"/>
  <c r="AL140" i="25"/>
  <c r="H140" i="25"/>
  <c r="AH140" i="25" s="1"/>
  <c r="S140" i="25"/>
  <c r="K140" i="25" s="1"/>
  <c r="AL148" i="25"/>
  <c r="H148" i="25"/>
  <c r="AH148" i="25" s="1"/>
  <c r="S148" i="25"/>
  <c r="K148" i="25" s="1"/>
  <c r="AL156" i="25"/>
  <c r="H156" i="25"/>
  <c r="AH156" i="25" s="1"/>
  <c r="S156" i="25"/>
  <c r="K156" i="25" s="1"/>
  <c r="AL164" i="25"/>
  <c r="H164" i="25"/>
  <c r="AH164" i="25" s="1"/>
  <c r="S164" i="25"/>
  <c r="K164" i="25" s="1"/>
  <c r="AL172" i="25"/>
  <c r="H172" i="25"/>
  <c r="AH172" i="25" s="1"/>
  <c r="S172" i="25"/>
  <c r="K172" i="25" s="1"/>
  <c r="AL180" i="25"/>
  <c r="H180" i="25"/>
  <c r="AH180" i="25" s="1"/>
  <c r="S180" i="25"/>
  <c r="K180" i="25" s="1"/>
  <c r="AL188" i="25"/>
  <c r="H188" i="25"/>
  <c r="AH188" i="25" s="1"/>
  <c r="S188" i="25"/>
  <c r="K188" i="25" s="1"/>
  <c r="AL196" i="25"/>
  <c r="H196" i="25"/>
  <c r="AH196" i="25" s="1"/>
  <c r="S196" i="25"/>
  <c r="K196" i="25" s="1"/>
  <c r="H138" i="25"/>
  <c r="AH138" i="25" s="1"/>
  <c r="AL138" i="25"/>
  <c r="S138" i="25"/>
  <c r="K138" i="25" s="1"/>
  <c r="H154" i="25"/>
  <c r="AH154" i="25" s="1"/>
  <c r="AL154" i="25"/>
  <c r="S154" i="25"/>
  <c r="K154" i="25" s="1"/>
  <c r="H170" i="25"/>
  <c r="AH170" i="25" s="1"/>
  <c r="AL170" i="25"/>
  <c r="S170" i="25"/>
  <c r="K170" i="25" s="1"/>
  <c r="H186" i="25"/>
  <c r="AH186" i="25" s="1"/>
  <c r="AL186" i="25"/>
  <c r="S186" i="25"/>
  <c r="K186" i="25" s="1"/>
  <c r="H217" i="25"/>
  <c r="AH217" i="25" s="1"/>
  <c r="AL217" i="25"/>
  <c r="S217" i="25"/>
  <c r="K217" i="25" s="1"/>
  <c r="H232" i="25"/>
  <c r="AH232" i="25" s="1"/>
  <c r="AL232" i="25"/>
  <c r="S232" i="25"/>
  <c r="K232" i="25" s="1"/>
  <c r="H240" i="25"/>
  <c r="AH240" i="25" s="1"/>
  <c r="AL240" i="25"/>
  <c r="S240" i="25"/>
  <c r="K240" i="25" s="1"/>
  <c r="H248" i="25"/>
  <c r="AH248" i="25" s="1"/>
  <c r="AL248" i="25"/>
  <c r="S248" i="25"/>
  <c r="K248" i="25" s="1"/>
  <c r="H256" i="25"/>
  <c r="AH256" i="25" s="1"/>
  <c r="AL256" i="25"/>
  <c r="S256" i="25"/>
  <c r="K256" i="25" s="1"/>
  <c r="H264" i="25"/>
  <c r="AH264" i="25" s="1"/>
  <c r="AL264" i="25"/>
  <c r="S264" i="25"/>
  <c r="K264" i="25" s="1"/>
  <c r="AL274" i="25"/>
  <c r="H274" i="25"/>
  <c r="AH274" i="25" s="1"/>
  <c r="S274" i="25"/>
  <c r="K274" i="25" s="1"/>
  <c r="AL135" i="25"/>
  <c r="H135" i="25"/>
  <c r="AH135" i="25" s="1"/>
  <c r="S135" i="25"/>
  <c r="K135" i="25" s="1"/>
  <c r="AL151" i="25"/>
  <c r="H151" i="25"/>
  <c r="AH151" i="25" s="1"/>
  <c r="S151" i="25"/>
  <c r="K151" i="25" s="1"/>
  <c r="AL167" i="25"/>
  <c r="H167" i="25"/>
  <c r="AH167" i="25" s="1"/>
  <c r="S167" i="25"/>
  <c r="K167" i="25" s="1"/>
  <c r="AL183" i="25"/>
  <c r="H183" i="25"/>
  <c r="AH183" i="25" s="1"/>
  <c r="S183" i="25"/>
  <c r="K183" i="25" s="1"/>
  <c r="AL199" i="25"/>
  <c r="H199" i="25"/>
  <c r="AH199" i="25" s="1"/>
  <c r="S199" i="25"/>
  <c r="K199" i="25" s="1"/>
  <c r="H206" i="25"/>
  <c r="AH206" i="25" s="1"/>
  <c r="AL206" i="25"/>
  <c r="S206" i="25"/>
  <c r="K206" i="25" s="1"/>
  <c r="H224" i="25"/>
  <c r="AH224" i="25" s="1"/>
  <c r="AL224" i="25"/>
  <c r="S224" i="25"/>
  <c r="K224" i="25" s="1"/>
  <c r="AL308" i="25"/>
  <c r="H308" i="25"/>
  <c r="AH308" i="25" s="1"/>
  <c r="S308" i="25"/>
  <c r="K308" i="25" s="1"/>
  <c r="H238" i="25"/>
  <c r="AH238" i="25" s="1"/>
  <c r="AL238" i="25"/>
  <c r="S238" i="25"/>
  <c r="K238" i="25" s="1"/>
  <c r="H254" i="25"/>
  <c r="AH254" i="25" s="1"/>
  <c r="AL254" i="25"/>
  <c r="S254" i="25"/>
  <c r="K254" i="25" s="1"/>
  <c r="H283" i="25"/>
  <c r="AH283" i="25" s="1"/>
  <c r="AL283" i="25"/>
  <c r="S283" i="25"/>
  <c r="K283" i="25" s="1"/>
  <c r="AL204" i="25"/>
  <c r="H204" i="25"/>
  <c r="AH204" i="25" s="1"/>
  <c r="S204" i="25"/>
  <c r="K204" i="25" s="1"/>
  <c r="H241" i="25"/>
  <c r="AH241" i="25" s="1"/>
  <c r="AL241" i="25"/>
  <c r="S241" i="25"/>
  <c r="K241" i="25" s="1"/>
  <c r="H257" i="25"/>
  <c r="AH257" i="25" s="1"/>
  <c r="AL257" i="25"/>
  <c r="S257" i="25"/>
  <c r="K257" i="25" s="1"/>
  <c r="H294" i="25"/>
  <c r="AH294" i="25" s="1"/>
  <c r="AL294" i="25"/>
  <c r="S294" i="25"/>
  <c r="K294" i="25" s="1"/>
  <c r="AL309" i="25"/>
  <c r="H309" i="25"/>
  <c r="AH309" i="25" s="1"/>
  <c r="S309" i="25"/>
  <c r="K309" i="25" s="1"/>
  <c r="AL279" i="25"/>
  <c r="H279" i="25"/>
  <c r="AH279" i="25" s="1"/>
  <c r="S279" i="25"/>
  <c r="K279" i="25" s="1"/>
  <c r="H293" i="25"/>
  <c r="AH293" i="25" s="1"/>
  <c r="AL293" i="25"/>
  <c r="S293" i="25"/>
  <c r="K293" i="25" s="1"/>
  <c r="H284" i="25"/>
  <c r="AH284" i="25" s="1"/>
  <c r="AL284" i="25"/>
  <c r="S284" i="25"/>
  <c r="K284" i="25" s="1"/>
  <c r="AL300" i="25"/>
  <c r="H300" i="25"/>
  <c r="AH300" i="25" s="1"/>
  <c r="S300" i="25"/>
  <c r="K300" i="25" s="1"/>
  <c r="AL315" i="25"/>
  <c r="H315" i="25"/>
  <c r="AH315" i="25" s="1"/>
  <c r="S315" i="25"/>
  <c r="K315" i="25" s="1"/>
  <c r="AL304" i="25"/>
  <c r="H304" i="25"/>
  <c r="AH304" i="25" s="1"/>
  <c r="S304" i="25"/>
  <c r="K304" i="25" s="1"/>
  <c r="AL18" i="25"/>
  <c r="H18" i="25"/>
  <c r="AH18" i="25" s="1"/>
  <c r="S18" i="25"/>
  <c r="K18" i="25" s="1"/>
  <c r="AL38" i="25"/>
  <c r="H38" i="25"/>
  <c r="AH38" i="25" s="1"/>
  <c r="S38" i="25"/>
  <c r="K38" i="25" s="1"/>
  <c r="AL53" i="25"/>
  <c r="H53" i="25"/>
  <c r="AH53" i="25" s="1"/>
  <c r="S53" i="25"/>
  <c r="K53" i="25" s="1"/>
  <c r="AL24" i="25"/>
  <c r="H24" i="25"/>
  <c r="AH24" i="25" s="1"/>
  <c r="S24" i="25"/>
  <c r="K24" i="25" s="1"/>
  <c r="AL60" i="25"/>
  <c r="H60" i="25"/>
  <c r="AH60" i="25" s="1"/>
  <c r="S60" i="25"/>
  <c r="K60" i="25" s="1"/>
  <c r="AL54" i="25"/>
  <c r="H54" i="25"/>
  <c r="AH54" i="25" s="1"/>
  <c r="S54" i="25"/>
  <c r="K54" i="25" s="1"/>
  <c r="AL90" i="25"/>
  <c r="H90" i="25"/>
  <c r="AH90" i="25" s="1"/>
  <c r="S90" i="25"/>
  <c r="K90" i="25" s="1"/>
  <c r="AL9" i="25"/>
  <c r="H9" i="25"/>
  <c r="AH9" i="25" s="1"/>
  <c r="S9" i="25"/>
  <c r="K9" i="25" s="1"/>
  <c r="AL49" i="25"/>
  <c r="H49" i="25"/>
  <c r="AH49" i="25" s="1"/>
  <c r="S49" i="25"/>
  <c r="K49" i="25" s="1"/>
  <c r="H117" i="25"/>
  <c r="AH117" i="25" s="1"/>
  <c r="AL117" i="25"/>
  <c r="S117" i="25"/>
  <c r="K117" i="25" s="1"/>
  <c r="AL59" i="25"/>
  <c r="H59" i="25"/>
  <c r="AH59" i="25" s="1"/>
  <c r="S59" i="25"/>
  <c r="K59" i="25" s="1"/>
  <c r="H295" i="25"/>
  <c r="AH295" i="25" s="1"/>
  <c r="AL295" i="25"/>
  <c r="S295" i="25"/>
  <c r="K295" i="25" s="1"/>
  <c r="H126" i="25"/>
  <c r="AH126" i="25" s="1"/>
  <c r="AL126" i="25"/>
  <c r="S126" i="25"/>
  <c r="K126" i="25" s="1"/>
  <c r="H231" i="25"/>
  <c r="AH231" i="25" s="1"/>
  <c r="AL231" i="25"/>
  <c r="S231" i="25"/>
  <c r="K231" i="25" s="1"/>
  <c r="AL94" i="25"/>
  <c r="H94" i="25"/>
  <c r="AH94" i="25" s="1"/>
  <c r="S94" i="25"/>
  <c r="K94" i="25" s="1"/>
  <c r="AL102" i="25"/>
  <c r="H102" i="25"/>
  <c r="AH102" i="25" s="1"/>
  <c r="S102" i="25"/>
  <c r="K102" i="25" s="1"/>
  <c r="AL127" i="25"/>
  <c r="H127" i="25"/>
  <c r="AH127" i="25" s="1"/>
  <c r="S127" i="25"/>
  <c r="K127" i="25" s="1"/>
  <c r="H149" i="25"/>
  <c r="AH149" i="25" s="1"/>
  <c r="AL149" i="25"/>
  <c r="S149" i="25"/>
  <c r="K149" i="25" s="1"/>
  <c r="H165" i="25"/>
  <c r="AH165" i="25" s="1"/>
  <c r="AL165" i="25"/>
  <c r="S165" i="25"/>
  <c r="K165" i="25" s="1"/>
  <c r="H181" i="25"/>
  <c r="AH181" i="25" s="1"/>
  <c r="AL181" i="25"/>
  <c r="S181" i="25"/>
  <c r="K181" i="25" s="1"/>
  <c r="H189" i="25"/>
  <c r="AH189" i="25" s="1"/>
  <c r="AL189" i="25"/>
  <c r="S189" i="25"/>
  <c r="K189" i="25" s="1"/>
  <c r="H142" i="25"/>
  <c r="AH142" i="25" s="1"/>
  <c r="AL142" i="25"/>
  <c r="S142" i="25"/>
  <c r="K142" i="25" s="1"/>
  <c r="H174" i="25"/>
  <c r="AH174" i="25" s="1"/>
  <c r="AL174" i="25"/>
  <c r="S174" i="25"/>
  <c r="K174" i="25" s="1"/>
  <c r="H221" i="25"/>
  <c r="AH221" i="25" s="1"/>
  <c r="AL221" i="25"/>
  <c r="S221" i="25"/>
  <c r="K221" i="25" s="1"/>
  <c r="H243" i="25"/>
  <c r="AH243" i="25" s="1"/>
  <c r="AL243" i="25"/>
  <c r="S243" i="25"/>
  <c r="K243" i="25" s="1"/>
  <c r="H259" i="25"/>
  <c r="AH259" i="25" s="1"/>
  <c r="AL259" i="25"/>
  <c r="S259" i="25"/>
  <c r="K259" i="25" s="1"/>
  <c r="AL278" i="25"/>
  <c r="H278" i="25"/>
  <c r="AH278" i="25" s="1"/>
  <c r="S278" i="25"/>
  <c r="K278" i="25" s="1"/>
  <c r="AL139" i="25"/>
  <c r="H139" i="25"/>
  <c r="AH139" i="25" s="1"/>
  <c r="S139" i="25"/>
  <c r="K139" i="25" s="1"/>
  <c r="AL171" i="25"/>
  <c r="H171" i="25"/>
  <c r="AH171" i="25" s="1"/>
  <c r="S171" i="25"/>
  <c r="K171" i="25" s="1"/>
  <c r="AL209" i="25"/>
  <c r="H209" i="25"/>
  <c r="AH209" i="25" s="1"/>
  <c r="S209" i="25"/>
  <c r="K209" i="25" s="1"/>
  <c r="H228" i="25"/>
  <c r="AH228" i="25" s="1"/>
  <c r="AL228" i="25"/>
  <c r="S228" i="25"/>
  <c r="K228" i="25" s="1"/>
  <c r="H203" i="25"/>
  <c r="AH203" i="25" s="1"/>
  <c r="AL203" i="25"/>
  <c r="S203" i="25"/>
  <c r="K203" i="25" s="1"/>
  <c r="H242" i="25"/>
  <c r="AH242" i="25" s="1"/>
  <c r="AL242" i="25"/>
  <c r="S242" i="25"/>
  <c r="K242" i="25" s="1"/>
  <c r="H258" i="25"/>
  <c r="AH258" i="25" s="1"/>
  <c r="AL258" i="25"/>
  <c r="S258" i="25"/>
  <c r="K258" i="25" s="1"/>
  <c r="H291" i="25"/>
  <c r="AH291" i="25" s="1"/>
  <c r="AL291" i="25"/>
  <c r="S291" i="25"/>
  <c r="K291" i="25" s="1"/>
  <c r="AL208" i="25"/>
  <c r="H208" i="25"/>
  <c r="AH208" i="25" s="1"/>
  <c r="S208" i="25"/>
  <c r="K208" i="25" s="1"/>
  <c r="H245" i="25"/>
  <c r="AH245" i="25" s="1"/>
  <c r="AL245" i="25"/>
  <c r="S245" i="25"/>
  <c r="K245" i="25" s="1"/>
  <c r="H261" i="25"/>
  <c r="AH261" i="25" s="1"/>
  <c r="AL261" i="25"/>
  <c r="S261" i="25"/>
  <c r="K261" i="25" s="1"/>
  <c r="AL272" i="25"/>
  <c r="H272" i="25"/>
  <c r="AH272" i="25" s="1"/>
  <c r="S272" i="25"/>
  <c r="K272" i="25" s="1"/>
  <c r="H281" i="25"/>
  <c r="AH281" i="25" s="1"/>
  <c r="AL281" i="25"/>
  <c r="S281" i="25"/>
  <c r="K281" i="25" s="1"/>
  <c r="H297" i="25"/>
  <c r="AH297" i="25" s="1"/>
  <c r="AL297" i="25"/>
  <c r="S297" i="25"/>
  <c r="K297" i="25" s="1"/>
  <c r="H288" i="25"/>
  <c r="AH288" i="25" s="1"/>
  <c r="AL288" i="25"/>
  <c r="S288" i="25"/>
  <c r="K288" i="25" s="1"/>
  <c r="AL305" i="25"/>
  <c r="H305" i="25"/>
  <c r="AH305" i="25" s="1"/>
  <c r="S305" i="25"/>
  <c r="K305" i="25" s="1"/>
  <c r="AL301" i="25"/>
  <c r="H301" i="25"/>
  <c r="AH301" i="25" s="1"/>
  <c r="S301" i="25"/>
  <c r="K301" i="25" s="1"/>
  <c r="AL306" i="25"/>
  <c r="H306" i="25"/>
  <c r="AH306" i="25" s="1"/>
  <c r="S306" i="25"/>
  <c r="K306" i="25" s="1"/>
  <c r="AL22" i="25"/>
  <c r="H22" i="25"/>
  <c r="AH22" i="25" s="1"/>
  <c r="S22" i="25"/>
  <c r="K22" i="25" s="1"/>
  <c r="AL35" i="25"/>
  <c r="H35" i="25"/>
  <c r="AH35" i="25" s="1"/>
  <c r="S35" i="25"/>
  <c r="K35" i="25" s="1"/>
  <c r="AL42" i="25"/>
  <c r="H42" i="25"/>
  <c r="AH42" i="25" s="1"/>
  <c r="S42" i="25"/>
  <c r="K42" i="25" s="1"/>
  <c r="AL21" i="25"/>
  <c r="H21" i="25"/>
  <c r="AH21" i="25" s="1"/>
  <c r="S21" i="25"/>
  <c r="K21" i="25" s="1"/>
  <c r="AL69" i="25"/>
  <c r="H69" i="25"/>
  <c r="AH69" i="25" s="1"/>
  <c r="S69" i="25"/>
  <c r="K69" i="25" s="1"/>
  <c r="AL12" i="25"/>
  <c r="H12" i="25"/>
  <c r="AH12" i="25" s="1"/>
  <c r="S12" i="25"/>
  <c r="K12" i="25" s="1"/>
  <c r="AL28" i="25"/>
  <c r="H28" i="25"/>
  <c r="AH28" i="25" s="1"/>
  <c r="S28" i="25"/>
  <c r="K28" i="25" s="1"/>
  <c r="AL48" i="25"/>
  <c r="H48" i="25"/>
  <c r="AH48" i="25" s="1"/>
  <c r="S48" i="25"/>
  <c r="K48" i="25" s="1"/>
  <c r="AL64" i="25"/>
  <c r="H64" i="25"/>
  <c r="AH64" i="25" s="1"/>
  <c r="S64" i="25"/>
  <c r="K64" i="25" s="1"/>
  <c r="AL80" i="25"/>
  <c r="H80" i="25"/>
  <c r="AH80" i="25" s="1"/>
  <c r="S80" i="25"/>
  <c r="K80" i="25" s="1"/>
  <c r="AL62" i="25"/>
  <c r="H62" i="25"/>
  <c r="AH62" i="25" s="1"/>
  <c r="S62" i="25"/>
  <c r="K62" i="25" s="1"/>
  <c r="AL78" i="25"/>
  <c r="H78" i="25"/>
  <c r="AH78" i="25" s="1"/>
  <c r="S78" i="25"/>
  <c r="K78" i="25" s="1"/>
  <c r="AL112" i="25"/>
  <c r="H112" i="25"/>
  <c r="AH112" i="25" s="1"/>
  <c r="S112" i="25"/>
  <c r="K112" i="25" s="1"/>
  <c r="AL6" i="25"/>
  <c r="BP6" i="25"/>
  <c r="H6" i="25"/>
  <c r="AH6" i="25" s="1"/>
  <c r="S6" i="25"/>
  <c r="K6" i="25" s="1"/>
  <c r="H10" i="25"/>
  <c r="AH10" i="25" s="1"/>
  <c r="AL10" i="25"/>
  <c r="S10" i="25"/>
  <c r="K10" i="25" s="1"/>
  <c r="AL25" i="25"/>
  <c r="H25" i="25"/>
  <c r="AH25" i="25" s="1"/>
  <c r="S25" i="25"/>
  <c r="K25" i="25" s="1"/>
  <c r="AL57" i="25"/>
  <c r="H57" i="25"/>
  <c r="AH57" i="25" s="1"/>
  <c r="S57" i="25"/>
  <c r="K57" i="25" s="1"/>
  <c r="AL77" i="25"/>
  <c r="H77" i="25"/>
  <c r="AH77" i="25" s="1"/>
  <c r="S77" i="25"/>
  <c r="K77" i="25" s="1"/>
  <c r="H125" i="25"/>
  <c r="AH125" i="25" s="1"/>
  <c r="AL125" i="25"/>
  <c r="S125" i="25"/>
  <c r="K125" i="25" s="1"/>
  <c r="AL27" i="25"/>
  <c r="H27" i="25"/>
  <c r="AH27" i="25" s="1"/>
  <c r="S27" i="25"/>
  <c r="K27" i="25" s="1"/>
  <c r="AL47" i="25"/>
  <c r="H47" i="25"/>
  <c r="AH47" i="25" s="1"/>
  <c r="S47" i="25"/>
  <c r="K47" i="25" s="1"/>
  <c r="AL63" i="25"/>
  <c r="H63" i="25"/>
  <c r="AH63" i="25" s="1"/>
  <c r="S63" i="25"/>
  <c r="K63" i="25" s="1"/>
  <c r="AL79" i="25"/>
  <c r="H79" i="25"/>
  <c r="AH79" i="25" s="1"/>
  <c r="S79" i="25"/>
  <c r="K79" i="25" s="1"/>
  <c r="H114" i="25"/>
  <c r="AH114" i="25" s="1"/>
  <c r="AL114" i="25"/>
  <c r="S114" i="25"/>
  <c r="K114" i="25" s="1"/>
  <c r="H218" i="25"/>
  <c r="AH218" i="25" s="1"/>
  <c r="AL218" i="25"/>
  <c r="S218" i="25"/>
  <c r="K218" i="25" s="1"/>
  <c r="H226" i="25"/>
  <c r="AH226" i="25" s="1"/>
  <c r="AL226" i="25"/>
  <c r="S226" i="25"/>
  <c r="K226" i="25" s="1"/>
  <c r="AL269" i="25"/>
  <c r="H269" i="25"/>
  <c r="AH269" i="25" s="1"/>
  <c r="S269" i="25"/>
  <c r="K269" i="25" s="1"/>
  <c r="AL91" i="25"/>
  <c r="H91" i="25"/>
  <c r="AH91" i="25" s="1"/>
  <c r="S91" i="25"/>
  <c r="K91" i="25" s="1"/>
  <c r="AL95" i="25"/>
  <c r="H95" i="25"/>
  <c r="AH95" i="25" s="1"/>
  <c r="S95" i="25"/>
  <c r="K95" i="25" s="1"/>
  <c r="AL99" i="25"/>
  <c r="H99" i="25"/>
  <c r="AH99" i="25" s="1"/>
  <c r="S99" i="25"/>
  <c r="K99" i="25" s="1"/>
  <c r="AL103" i="25"/>
  <c r="H103" i="25"/>
  <c r="AH103" i="25" s="1"/>
  <c r="S103" i="25"/>
  <c r="K103" i="25" s="1"/>
  <c r="AL115" i="25"/>
  <c r="H115" i="25"/>
  <c r="AH115" i="25" s="1"/>
  <c r="S115" i="25"/>
  <c r="K115" i="25" s="1"/>
  <c r="AL128" i="25"/>
  <c r="H128" i="25"/>
  <c r="AH128" i="25" s="1"/>
  <c r="S128" i="25"/>
  <c r="K128" i="25" s="1"/>
  <c r="AL136" i="25"/>
  <c r="H136" i="25"/>
  <c r="AH136" i="25" s="1"/>
  <c r="S136" i="25"/>
  <c r="K136" i="25" s="1"/>
  <c r="AL144" i="25"/>
  <c r="H144" i="25"/>
  <c r="AH144" i="25" s="1"/>
  <c r="S144" i="25"/>
  <c r="K144" i="25" s="1"/>
  <c r="AL152" i="25"/>
  <c r="H152" i="25"/>
  <c r="AH152" i="25" s="1"/>
  <c r="S152" i="25"/>
  <c r="K152" i="25" s="1"/>
  <c r="AL160" i="25"/>
  <c r="H160" i="25"/>
  <c r="AH160" i="25" s="1"/>
  <c r="S160" i="25"/>
  <c r="K160" i="25" s="1"/>
  <c r="AL168" i="25"/>
  <c r="H168" i="25"/>
  <c r="AH168" i="25" s="1"/>
  <c r="S168" i="25"/>
  <c r="K168" i="25" s="1"/>
  <c r="AL176" i="25"/>
  <c r="H176" i="25"/>
  <c r="AH176" i="25" s="1"/>
  <c r="S176" i="25"/>
  <c r="K176" i="25" s="1"/>
  <c r="AL184" i="25"/>
  <c r="H184" i="25"/>
  <c r="AH184" i="25" s="1"/>
  <c r="S184" i="25"/>
  <c r="K184" i="25" s="1"/>
  <c r="AL192" i="25"/>
  <c r="H192" i="25"/>
  <c r="AH192" i="25" s="1"/>
  <c r="S192" i="25"/>
  <c r="K192" i="25" s="1"/>
  <c r="H130" i="25"/>
  <c r="AH130" i="25" s="1"/>
  <c r="AL130" i="25"/>
  <c r="S130" i="25"/>
  <c r="K130" i="25" s="1"/>
  <c r="H146" i="25"/>
  <c r="AH146" i="25" s="1"/>
  <c r="AL146" i="25"/>
  <c r="S146" i="25"/>
  <c r="K146" i="25" s="1"/>
  <c r="H162" i="25"/>
  <c r="AH162" i="25" s="1"/>
  <c r="AL162" i="25"/>
  <c r="S162" i="25"/>
  <c r="K162" i="25" s="1"/>
  <c r="H178" i="25"/>
  <c r="AH178" i="25" s="1"/>
  <c r="AL178" i="25"/>
  <c r="S178" i="25"/>
  <c r="K178" i="25" s="1"/>
  <c r="H194" i="25"/>
  <c r="AH194" i="25" s="1"/>
  <c r="AL194" i="25"/>
  <c r="S194" i="25"/>
  <c r="K194" i="25" s="1"/>
  <c r="H225" i="25"/>
  <c r="AH225" i="25" s="1"/>
  <c r="AL225" i="25"/>
  <c r="S225" i="25"/>
  <c r="K225" i="25" s="1"/>
  <c r="H236" i="25"/>
  <c r="AH236" i="25" s="1"/>
  <c r="AL236" i="25"/>
  <c r="S236" i="25"/>
  <c r="K236" i="25" s="1"/>
  <c r="H244" i="25"/>
  <c r="AH244" i="25" s="1"/>
  <c r="AL244" i="25"/>
  <c r="S244" i="25"/>
  <c r="K244" i="25" s="1"/>
  <c r="H252" i="25"/>
  <c r="AH252" i="25" s="1"/>
  <c r="AL252" i="25"/>
  <c r="S252" i="25"/>
  <c r="K252" i="25" s="1"/>
  <c r="H260" i="25"/>
  <c r="AH260" i="25" s="1"/>
  <c r="AL260" i="25"/>
  <c r="S260" i="25"/>
  <c r="K260" i="25" s="1"/>
  <c r="AL268" i="25"/>
  <c r="H268" i="25"/>
  <c r="AH268" i="25" s="1"/>
  <c r="S268" i="25"/>
  <c r="K268" i="25" s="1"/>
  <c r="H287" i="25"/>
  <c r="AH287" i="25" s="1"/>
  <c r="AL287" i="25"/>
  <c r="S287" i="25"/>
  <c r="K287" i="25" s="1"/>
  <c r="AL143" i="25"/>
  <c r="H143" i="25"/>
  <c r="AH143" i="25" s="1"/>
  <c r="S143" i="25"/>
  <c r="K143" i="25" s="1"/>
  <c r="AL159" i="25"/>
  <c r="H159" i="25"/>
  <c r="AH159" i="25" s="1"/>
  <c r="S159" i="25"/>
  <c r="K159" i="25" s="1"/>
  <c r="AL175" i="25"/>
  <c r="H175" i="25"/>
  <c r="AH175" i="25" s="1"/>
  <c r="S175" i="25"/>
  <c r="K175" i="25" s="1"/>
  <c r="AL191" i="25"/>
  <c r="H191" i="25"/>
  <c r="AH191" i="25" s="1"/>
  <c r="S191" i="25"/>
  <c r="K191" i="25" s="1"/>
  <c r="H202" i="25"/>
  <c r="AH202" i="25" s="1"/>
  <c r="AL202" i="25"/>
  <c r="S202" i="25"/>
  <c r="K202" i="25" s="1"/>
  <c r="H210" i="25"/>
  <c r="AH210" i="25" s="1"/>
  <c r="AL210" i="25"/>
  <c r="S210" i="25"/>
  <c r="K210" i="25" s="1"/>
  <c r="H282" i="25"/>
  <c r="AH282" i="25" s="1"/>
  <c r="AL282" i="25"/>
  <c r="S282" i="25"/>
  <c r="K282" i="25" s="1"/>
  <c r="H207" i="25"/>
  <c r="AH207" i="25" s="1"/>
  <c r="AL207" i="25"/>
  <c r="S207" i="25"/>
  <c r="K207" i="25" s="1"/>
  <c r="H246" i="25"/>
  <c r="AH246" i="25" s="1"/>
  <c r="AL246" i="25"/>
  <c r="S246" i="25"/>
  <c r="K246" i="25" s="1"/>
  <c r="H262" i="25"/>
  <c r="AH262" i="25" s="1"/>
  <c r="AL262" i="25"/>
  <c r="S262" i="25"/>
  <c r="K262" i="25" s="1"/>
  <c r="AL299" i="25"/>
  <c r="H299" i="25"/>
  <c r="AH299" i="25" s="1"/>
  <c r="S299" i="25"/>
  <c r="K299" i="25" s="1"/>
  <c r="H233" i="25"/>
  <c r="AH233" i="25" s="1"/>
  <c r="AL233" i="25"/>
  <c r="S233" i="25"/>
  <c r="K233" i="25" s="1"/>
  <c r="H249" i="25"/>
  <c r="AH249" i="25" s="1"/>
  <c r="AL249" i="25"/>
  <c r="S249" i="25"/>
  <c r="K249" i="25" s="1"/>
  <c r="H265" i="25"/>
  <c r="AH265" i="25" s="1"/>
  <c r="AL265" i="25"/>
  <c r="S265" i="25"/>
  <c r="K265" i="25" s="1"/>
  <c r="AL276" i="25"/>
  <c r="H276" i="25"/>
  <c r="AH276" i="25" s="1"/>
  <c r="S276" i="25"/>
  <c r="K276" i="25" s="1"/>
  <c r="AL271" i="25"/>
  <c r="H271" i="25"/>
  <c r="AH271" i="25" s="1"/>
  <c r="S271" i="25"/>
  <c r="K271" i="25" s="1"/>
  <c r="H285" i="25"/>
  <c r="AH285" i="25" s="1"/>
  <c r="AL285" i="25"/>
  <c r="S285" i="25"/>
  <c r="K285" i="25" s="1"/>
  <c r="AL312" i="25"/>
  <c r="H312" i="25"/>
  <c r="AH312" i="25" s="1"/>
  <c r="S312" i="25"/>
  <c r="K312" i="25" s="1"/>
  <c r="H292" i="25"/>
  <c r="AH292" i="25" s="1"/>
  <c r="AL292" i="25"/>
  <c r="S292" i="25"/>
  <c r="K292" i="25" s="1"/>
  <c r="AL307" i="25"/>
  <c r="H307" i="25"/>
  <c r="AH307" i="25" s="1"/>
  <c r="S307" i="25"/>
  <c r="K307" i="25" s="1"/>
  <c r="AL302" i="25"/>
  <c r="H302" i="25"/>
  <c r="AH302" i="25" s="1"/>
  <c r="S302" i="25"/>
  <c r="K302" i="25" s="1"/>
  <c r="AL310" i="25"/>
  <c r="H310" i="25"/>
  <c r="AH310" i="25" s="1"/>
  <c r="S310" i="25"/>
  <c r="K310" i="25" s="1"/>
  <c r="AL26" i="25"/>
  <c r="H26" i="25"/>
  <c r="AH26" i="25" s="1"/>
  <c r="S26" i="25"/>
  <c r="K26" i="25" s="1"/>
  <c r="AL36" i="25"/>
  <c r="H36" i="25"/>
  <c r="AH36" i="25" s="1"/>
  <c r="S36" i="25"/>
  <c r="K36" i="25" s="1"/>
  <c r="AL46" i="25"/>
  <c r="H46" i="25"/>
  <c r="AH46" i="25" s="1"/>
  <c r="S46" i="25"/>
  <c r="K46" i="25" s="1"/>
  <c r="AL41" i="25"/>
  <c r="H41" i="25"/>
  <c r="AH41" i="25" s="1"/>
  <c r="S41" i="25"/>
  <c r="K41" i="25" s="1"/>
  <c r="AL81" i="25"/>
  <c r="H81" i="25"/>
  <c r="AH81" i="25" s="1"/>
  <c r="S81" i="25"/>
  <c r="K81" i="25" s="1"/>
  <c r="AL16" i="25"/>
  <c r="H16" i="25"/>
  <c r="AH16" i="25" s="1"/>
  <c r="S16" i="25"/>
  <c r="K16" i="25" s="1"/>
  <c r="AL32" i="25"/>
  <c r="H32" i="25"/>
  <c r="AH32" i="25" s="1"/>
  <c r="S32" i="25"/>
  <c r="K32" i="25" s="1"/>
  <c r="AL52" i="25"/>
  <c r="H52" i="25"/>
  <c r="AH52" i="25" s="1"/>
  <c r="S52" i="25"/>
  <c r="K52" i="25" s="1"/>
  <c r="AL68" i="25"/>
  <c r="H68" i="25"/>
  <c r="AH68" i="25" s="1"/>
  <c r="S68" i="25"/>
  <c r="K68" i="25" s="1"/>
  <c r="AL84" i="25"/>
  <c r="H84" i="25"/>
  <c r="AH84" i="25" s="1"/>
  <c r="S84" i="25"/>
  <c r="K84" i="25" s="1"/>
  <c r="AL66" i="25"/>
  <c r="H66" i="25"/>
  <c r="AH66" i="25" s="1"/>
  <c r="S66" i="25"/>
  <c r="K66" i="25" s="1"/>
  <c r="AL82" i="25"/>
  <c r="H82" i="25"/>
  <c r="AH82" i="25" s="1"/>
  <c r="S82" i="25"/>
  <c r="K82" i="25" s="1"/>
  <c r="AL116" i="25"/>
  <c r="H116" i="25"/>
  <c r="AH116" i="25" s="1"/>
  <c r="S116" i="25"/>
  <c r="K116" i="25" s="1"/>
  <c r="BP7" i="25"/>
  <c r="H7" i="25"/>
  <c r="AH7" i="25" s="1"/>
  <c r="AL7" i="25"/>
  <c r="S7" i="25"/>
  <c r="K7" i="25" s="1"/>
  <c r="H11" i="25"/>
  <c r="AH11" i="25" s="1"/>
  <c r="AL11" i="25"/>
  <c r="S11" i="25"/>
  <c r="K11" i="25" s="1"/>
  <c r="AL29" i="25"/>
  <c r="H29" i="25"/>
  <c r="AH29" i="25" s="1"/>
  <c r="S29" i="25"/>
  <c r="K29" i="25" s="1"/>
  <c r="AL61" i="25"/>
  <c r="H61" i="25"/>
  <c r="AH61" i="25" s="1"/>
  <c r="S61" i="25"/>
  <c r="K61" i="25" s="1"/>
  <c r="AL85" i="25"/>
  <c r="H85" i="25"/>
  <c r="AH85" i="25" s="1"/>
  <c r="S85" i="25"/>
  <c r="K85" i="25" s="1"/>
  <c r="AL15" i="25"/>
  <c r="H15" i="25"/>
  <c r="AH15" i="25" s="1"/>
  <c r="S15" i="25"/>
  <c r="K15" i="25" s="1"/>
  <c r="AL31" i="25"/>
  <c r="H31" i="25"/>
  <c r="AH31" i="25" s="1"/>
  <c r="S31" i="25"/>
  <c r="K31" i="25" s="1"/>
  <c r="AL51" i="25"/>
  <c r="H51" i="25"/>
  <c r="AH51" i="25" s="1"/>
  <c r="S51" i="25"/>
  <c r="K51" i="25" s="1"/>
  <c r="AL67" i="25"/>
  <c r="H67" i="25"/>
  <c r="AH67" i="25" s="1"/>
  <c r="S67" i="25"/>
  <c r="K67" i="25" s="1"/>
  <c r="AL83" i="25"/>
  <c r="H83" i="25"/>
  <c r="AH83" i="25" s="1"/>
  <c r="S83" i="25"/>
  <c r="K83" i="25" s="1"/>
  <c r="H118" i="25"/>
  <c r="AH118" i="25" s="1"/>
  <c r="AL118" i="25"/>
  <c r="S118" i="25"/>
  <c r="K118" i="25" s="1"/>
  <c r="H219" i="25"/>
  <c r="AH219" i="25" s="1"/>
  <c r="AL219" i="25"/>
  <c r="S219" i="25"/>
  <c r="K219" i="25" s="1"/>
  <c r="H227" i="25"/>
  <c r="AH227" i="25" s="1"/>
  <c r="AL227" i="25"/>
  <c r="S227" i="25"/>
  <c r="K227" i="25" s="1"/>
  <c r="AL273" i="25"/>
  <c r="H273" i="25"/>
  <c r="AH273" i="25" s="1"/>
  <c r="S273" i="25"/>
  <c r="K273" i="25" s="1"/>
  <c r="AL92" i="25"/>
  <c r="H92" i="25"/>
  <c r="AH92" i="25" s="1"/>
  <c r="S92" i="25"/>
  <c r="K92" i="25" s="1"/>
  <c r="AL96" i="25"/>
  <c r="H96" i="25"/>
  <c r="AH96" i="25" s="1"/>
  <c r="S96" i="25"/>
  <c r="K96" i="25" s="1"/>
  <c r="AL100" i="25"/>
  <c r="H100" i="25"/>
  <c r="AH100" i="25" s="1"/>
  <c r="S100" i="25"/>
  <c r="K100" i="25" s="1"/>
  <c r="AL104" i="25"/>
  <c r="H104" i="25"/>
  <c r="AH104" i="25" s="1"/>
  <c r="S104" i="25"/>
  <c r="K104" i="25" s="1"/>
  <c r="AL119" i="25"/>
  <c r="H119" i="25"/>
  <c r="AH119" i="25" s="1"/>
  <c r="S119" i="25"/>
  <c r="K119" i="25" s="1"/>
  <c r="H129" i="25"/>
  <c r="AH129" i="25" s="1"/>
  <c r="AL129" i="25"/>
  <c r="S129" i="25"/>
  <c r="K129" i="25" s="1"/>
  <c r="H137" i="25"/>
  <c r="AH137" i="25" s="1"/>
  <c r="AL137" i="25"/>
  <c r="S137" i="25"/>
  <c r="K137" i="25" s="1"/>
  <c r="H145" i="25"/>
  <c r="AH145" i="25" s="1"/>
  <c r="AL145" i="25"/>
  <c r="S145" i="25"/>
  <c r="K145" i="25" s="1"/>
  <c r="H153" i="25"/>
  <c r="AH153" i="25" s="1"/>
  <c r="AL153" i="25"/>
  <c r="S153" i="25"/>
  <c r="K153" i="25" s="1"/>
  <c r="H161" i="25"/>
  <c r="AH161" i="25" s="1"/>
  <c r="AL161" i="25"/>
  <c r="S161" i="25"/>
  <c r="K161" i="25" s="1"/>
  <c r="H169" i="25"/>
  <c r="AH169" i="25" s="1"/>
  <c r="AL169" i="25"/>
  <c r="S169" i="25"/>
  <c r="K169" i="25" s="1"/>
  <c r="H177" i="25"/>
  <c r="AH177" i="25" s="1"/>
  <c r="AL177" i="25"/>
  <c r="S177" i="25"/>
  <c r="K177" i="25" s="1"/>
  <c r="H185" i="25"/>
  <c r="AH185" i="25" s="1"/>
  <c r="AL185" i="25"/>
  <c r="S185" i="25"/>
  <c r="K185" i="25" s="1"/>
  <c r="H193" i="25"/>
  <c r="AH193" i="25" s="1"/>
  <c r="AL193" i="25"/>
  <c r="S193" i="25"/>
  <c r="K193" i="25" s="1"/>
  <c r="H134" i="25"/>
  <c r="AH134" i="25" s="1"/>
  <c r="AL134" i="25"/>
  <c r="S134" i="25"/>
  <c r="K134" i="25" s="1"/>
  <c r="H150" i="25"/>
  <c r="AH150" i="25" s="1"/>
  <c r="AL150" i="25"/>
  <c r="S150" i="25"/>
  <c r="K150" i="25" s="1"/>
  <c r="H166" i="25"/>
  <c r="AH166" i="25" s="1"/>
  <c r="AL166" i="25"/>
  <c r="S166" i="25"/>
  <c r="K166" i="25" s="1"/>
  <c r="H182" i="25"/>
  <c r="AH182" i="25" s="1"/>
  <c r="AL182" i="25"/>
  <c r="S182" i="25"/>
  <c r="K182" i="25" s="1"/>
  <c r="H198" i="25"/>
  <c r="AH198" i="25" s="1"/>
  <c r="AL198" i="25"/>
  <c r="S198" i="25"/>
  <c r="K198" i="25" s="1"/>
  <c r="H229" i="25"/>
  <c r="AH229" i="25" s="1"/>
  <c r="AL229" i="25"/>
  <c r="S229" i="25"/>
  <c r="K229" i="25" s="1"/>
  <c r="H239" i="25"/>
  <c r="AH239" i="25" s="1"/>
  <c r="AL239" i="25"/>
  <c r="S239" i="25"/>
  <c r="K239" i="25" s="1"/>
  <c r="H247" i="25"/>
  <c r="AH247" i="25" s="1"/>
  <c r="AL247" i="25"/>
  <c r="S247" i="25"/>
  <c r="K247" i="25" s="1"/>
  <c r="H255" i="25"/>
  <c r="AH255" i="25" s="1"/>
  <c r="AL255" i="25"/>
  <c r="S255" i="25"/>
  <c r="K255" i="25" s="1"/>
  <c r="H263" i="25"/>
  <c r="AH263" i="25" s="1"/>
  <c r="AL263" i="25"/>
  <c r="S263" i="25"/>
  <c r="K263" i="25" s="1"/>
  <c r="AL270" i="25"/>
  <c r="H270" i="25"/>
  <c r="AH270" i="25" s="1"/>
  <c r="S270" i="25"/>
  <c r="K270" i="25" s="1"/>
  <c r="AL131" i="25"/>
  <c r="H131" i="25"/>
  <c r="AH131" i="25" s="1"/>
  <c r="S131" i="25"/>
  <c r="K131" i="25" s="1"/>
  <c r="AL147" i="25"/>
  <c r="H147" i="25"/>
  <c r="AH147" i="25" s="1"/>
  <c r="S147" i="25"/>
  <c r="K147" i="25" s="1"/>
  <c r="AL163" i="25"/>
  <c r="H163" i="25"/>
  <c r="AH163" i="25" s="1"/>
  <c r="S163" i="25"/>
  <c r="K163" i="25" s="1"/>
  <c r="AL179" i="25"/>
  <c r="H179" i="25"/>
  <c r="AH179" i="25" s="1"/>
  <c r="S179" i="25"/>
  <c r="K179" i="25" s="1"/>
  <c r="AL195" i="25"/>
  <c r="H195" i="25"/>
  <c r="AH195" i="25" s="1"/>
  <c r="S195" i="25"/>
  <c r="K195" i="25" s="1"/>
  <c r="AL205" i="25"/>
  <c r="H205" i="25"/>
  <c r="AH205" i="25" s="1"/>
  <c r="S205" i="25"/>
  <c r="K205" i="25" s="1"/>
  <c r="H220" i="25"/>
  <c r="AH220" i="25" s="1"/>
  <c r="AL220" i="25"/>
  <c r="S220" i="25"/>
  <c r="K220" i="25" s="1"/>
  <c r="H298" i="25"/>
  <c r="AH298" i="25" s="1"/>
  <c r="AL298" i="25"/>
  <c r="S298" i="25"/>
  <c r="K298" i="25" s="1"/>
  <c r="H234" i="25"/>
  <c r="AH234" i="25" s="1"/>
  <c r="AL234" i="25"/>
  <c r="S234" i="25"/>
  <c r="K234" i="25" s="1"/>
  <c r="H250" i="25"/>
  <c r="AH250" i="25" s="1"/>
  <c r="AL250" i="25"/>
  <c r="S250" i="25"/>
  <c r="K250" i="25" s="1"/>
  <c r="H266" i="25"/>
  <c r="AH266" i="25" s="1"/>
  <c r="AL266" i="25"/>
  <c r="S266" i="25"/>
  <c r="K266" i="25" s="1"/>
  <c r="AL200" i="25"/>
  <c r="H200" i="25"/>
  <c r="AH200" i="25" s="1"/>
  <c r="S200" i="25"/>
  <c r="K200" i="25" s="1"/>
  <c r="H237" i="25"/>
  <c r="AH237" i="25" s="1"/>
  <c r="AL237" i="25"/>
  <c r="S237" i="25"/>
  <c r="K237" i="25" s="1"/>
  <c r="H253" i="25"/>
  <c r="AH253" i="25" s="1"/>
  <c r="AL253" i="25"/>
  <c r="S253" i="25"/>
  <c r="K253" i="25" s="1"/>
  <c r="H286" i="25"/>
  <c r="AH286" i="25" s="1"/>
  <c r="AL286" i="25"/>
  <c r="S286" i="25"/>
  <c r="K286" i="25" s="1"/>
  <c r="AL280" i="25"/>
  <c r="H280" i="25"/>
  <c r="AH280" i="25" s="1"/>
  <c r="S280" i="25"/>
  <c r="K280" i="25" s="1"/>
  <c r="AL275" i="25"/>
  <c r="H275" i="25"/>
  <c r="AH275" i="25" s="1"/>
  <c r="S275" i="25"/>
  <c r="K275" i="25" s="1"/>
  <c r="H289" i="25"/>
  <c r="AH289" i="25" s="1"/>
  <c r="AL289" i="25"/>
  <c r="S289" i="25"/>
  <c r="K289" i="25" s="1"/>
  <c r="AL313" i="25"/>
  <c r="H313" i="25"/>
  <c r="AH313" i="25" s="1"/>
  <c r="S313" i="25"/>
  <c r="K313" i="25" s="1"/>
  <c r="H296" i="25"/>
  <c r="AH296" i="25" s="1"/>
  <c r="AL296" i="25"/>
  <c r="S296" i="25"/>
  <c r="K296" i="25" s="1"/>
  <c r="AL311" i="25"/>
  <c r="H311" i="25"/>
  <c r="AH311" i="25" s="1"/>
  <c r="S311" i="25"/>
  <c r="K311" i="25" s="1"/>
  <c r="AL303" i="25"/>
  <c r="H303" i="25"/>
  <c r="AH303" i="25" s="1"/>
  <c r="S303" i="25"/>
  <c r="K303" i="25" s="1"/>
  <c r="AL314" i="25"/>
  <c r="H314" i="25"/>
  <c r="AH314" i="25" s="1"/>
  <c r="S314" i="25"/>
  <c r="K314" i="25" s="1"/>
  <c r="B37" i="2"/>
  <c r="B35" i="2"/>
  <c r="J67" i="23"/>
  <c r="L67" i="23" s="1"/>
  <c r="G71" i="23"/>
  <c r="H71" i="23" s="1"/>
  <c r="G17" i="23"/>
  <c r="H17" i="23" s="1"/>
  <c r="G32" i="23"/>
  <c r="H32" i="23" s="1"/>
  <c r="G54" i="23"/>
  <c r="H54" i="23" s="1"/>
  <c r="G101" i="23"/>
  <c r="H101" i="23" s="1"/>
  <c r="G30" i="23"/>
  <c r="H30" i="23" s="1"/>
  <c r="G51" i="23"/>
  <c r="H51" i="23" s="1"/>
  <c r="J103" i="23"/>
  <c r="K103" i="23" s="1"/>
  <c r="G25" i="23"/>
  <c r="H25" i="23" s="1"/>
  <c r="G80" i="23"/>
  <c r="H80" i="23" s="1"/>
  <c r="G21" i="23"/>
  <c r="H21" i="23" s="1"/>
  <c r="G105" i="23"/>
  <c r="H105" i="23" s="1"/>
  <c r="J63" i="23"/>
  <c r="L63" i="23" s="1"/>
  <c r="J88" i="23"/>
  <c r="K88" i="23" s="1"/>
  <c r="J49" i="23"/>
  <c r="K49" i="23" s="1"/>
  <c r="G92" i="23"/>
  <c r="H92" i="23" s="1"/>
  <c r="G22" i="23"/>
  <c r="H22" i="23" s="1"/>
  <c r="J20" i="23"/>
  <c r="L20" i="23" s="1"/>
  <c r="G53" i="23"/>
  <c r="H53" i="23" s="1"/>
  <c r="G73" i="23"/>
  <c r="H73" i="23" s="1"/>
  <c r="G46" i="23"/>
  <c r="H46" i="23" s="1"/>
  <c r="G6" i="23"/>
  <c r="H6" i="23" s="1"/>
  <c r="G94" i="23"/>
  <c r="H94" i="23" s="1"/>
  <c r="G90" i="23"/>
  <c r="H90" i="23" s="1"/>
  <c r="G14" i="23"/>
  <c r="H14" i="23" s="1"/>
  <c r="J60" i="23"/>
  <c r="K60" i="23" s="1"/>
  <c r="J10" i="8"/>
  <c r="B163" i="2" s="1"/>
  <c r="B227" i="2" s="1"/>
  <c r="J84" i="23"/>
  <c r="L84" i="23" s="1"/>
  <c r="G81" i="23"/>
  <c r="H81" i="23" s="1"/>
  <c r="H187" i="24"/>
  <c r="AM187" i="24"/>
  <c r="H125" i="24"/>
  <c r="AM125" i="24"/>
  <c r="H294" i="24"/>
  <c r="AM294" i="24"/>
  <c r="AM242" i="24"/>
  <c r="H242" i="24"/>
  <c r="AM174" i="24"/>
  <c r="H174" i="24"/>
  <c r="H142" i="24"/>
  <c r="AM142" i="24"/>
  <c r="H297" i="24"/>
  <c r="AM297" i="24"/>
  <c r="H265" i="24"/>
  <c r="AM265" i="24"/>
  <c r="H183" i="24"/>
  <c r="AM183" i="24"/>
  <c r="H254" i="24"/>
  <c r="AM254" i="24"/>
  <c r="AM197" i="24"/>
  <c r="H197" i="24"/>
  <c r="AM137" i="24"/>
  <c r="H137" i="24"/>
  <c r="H292" i="24"/>
  <c r="AM292" i="24"/>
  <c r="H260" i="24"/>
  <c r="AM260" i="24"/>
  <c r="H228" i="24"/>
  <c r="AM228" i="24"/>
  <c r="H298" i="24"/>
  <c r="AM298" i="24"/>
  <c r="H128" i="24"/>
  <c r="AM128" i="24"/>
  <c r="H115" i="24"/>
  <c r="AM115" i="24"/>
  <c r="AM161" i="24"/>
  <c r="H161" i="24"/>
  <c r="AM204" i="24"/>
  <c r="H204" i="24"/>
  <c r="AM188" i="24"/>
  <c r="H188" i="24"/>
  <c r="AM156" i="24"/>
  <c r="H156" i="24"/>
  <c r="H295" i="24"/>
  <c r="AM295" i="24"/>
  <c r="H263" i="24"/>
  <c r="AM263" i="24"/>
  <c r="H247" i="24"/>
  <c r="AM247" i="24"/>
  <c r="H117" i="24"/>
  <c r="AM117" i="24"/>
  <c r="H195" i="24"/>
  <c r="AM195" i="24"/>
  <c r="H207" i="24"/>
  <c r="AM207" i="24"/>
  <c r="H147" i="24"/>
  <c r="AM147" i="24"/>
  <c r="H282" i="24"/>
  <c r="AM282" i="24"/>
  <c r="AM226" i="24"/>
  <c r="H226" i="24"/>
  <c r="H186" i="24"/>
  <c r="AM186" i="24"/>
  <c r="AM170" i="24"/>
  <c r="H170" i="24"/>
  <c r="H154" i="24"/>
  <c r="AM154" i="24"/>
  <c r="AM138" i="24"/>
  <c r="H138" i="24"/>
  <c r="AM309" i="24"/>
  <c r="H309" i="24"/>
  <c r="AM293" i="24"/>
  <c r="H293" i="24"/>
  <c r="H277" i="24"/>
  <c r="AM277" i="24"/>
  <c r="AM261" i="24"/>
  <c r="H261" i="24"/>
  <c r="H245" i="24"/>
  <c r="AM245" i="24"/>
  <c r="AM229" i="24"/>
  <c r="H229" i="24"/>
  <c r="AM167" i="24"/>
  <c r="H167" i="24"/>
  <c r="AM290" i="24"/>
  <c r="H290" i="24"/>
  <c r="AM238" i="24"/>
  <c r="H238" i="24"/>
  <c r="AM190" i="24"/>
  <c r="H190" i="24"/>
  <c r="AM185" i="24"/>
  <c r="H185" i="24"/>
  <c r="AM149" i="24"/>
  <c r="H149" i="24"/>
  <c r="H133" i="24"/>
  <c r="AM133" i="24"/>
  <c r="AM304" i="24"/>
  <c r="H304" i="24"/>
  <c r="AM288" i="24"/>
  <c r="H288" i="24"/>
  <c r="H272" i="24"/>
  <c r="AM272" i="24"/>
  <c r="AM256" i="24"/>
  <c r="H256" i="24"/>
  <c r="AM240" i="24"/>
  <c r="H240" i="24"/>
  <c r="AM224" i="24"/>
  <c r="H224" i="24"/>
  <c r="AM159" i="24"/>
  <c r="H159" i="24"/>
  <c r="AM217" i="24"/>
  <c r="H217" i="24"/>
  <c r="AM286" i="24"/>
  <c r="H286" i="24"/>
  <c r="H246" i="24"/>
  <c r="AM246" i="24"/>
  <c r="AM124" i="24"/>
  <c r="H124" i="24"/>
  <c r="H112" i="24"/>
  <c r="AM112" i="24"/>
  <c r="AM205" i="24"/>
  <c r="H205" i="24"/>
  <c r="AM181" i="24"/>
  <c r="H181" i="24"/>
  <c r="H157" i="24"/>
  <c r="AM157" i="24"/>
  <c r="AM118" i="24"/>
  <c r="H118" i="24"/>
  <c r="AM200" i="24"/>
  <c r="H200" i="24"/>
  <c r="AM184" i="24"/>
  <c r="H184" i="24"/>
  <c r="H168" i="24"/>
  <c r="AM168" i="24"/>
  <c r="H152" i="24"/>
  <c r="AM152" i="24"/>
  <c r="AM136" i="24"/>
  <c r="H136" i="24"/>
  <c r="AM307" i="24"/>
  <c r="H307" i="24"/>
  <c r="AM291" i="24"/>
  <c r="H291" i="24"/>
  <c r="AM275" i="24"/>
  <c r="H275" i="24"/>
  <c r="AM259" i="24"/>
  <c r="H259" i="24"/>
  <c r="AM243" i="24"/>
  <c r="H243" i="24"/>
  <c r="H227" i="24"/>
  <c r="AM227" i="24"/>
  <c r="AM113" i="24"/>
  <c r="H113" i="24"/>
  <c r="AM163" i="24"/>
  <c r="H163" i="24"/>
  <c r="H202" i="24"/>
  <c r="AM202" i="24"/>
  <c r="AM158" i="24"/>
  <c r="H158" i="24"/>
  <c r="AM313" i="24"/>
  <c r="H313" i="24"/>
  <c r="H281" i="24"/>
  <c r="AM281" i="24"/>
  <c r="AM249" i="24"/>
  <c r="H249" i="24"/>
  <c r="H233" i="24"/>
  <c r="AM233" i="24"/>
  <c r="H306" i="24"/>
  <c r="AM306" i="24"/>
  <c r="AM198" i="24"/>
  <c r="H198" i="24"/>
  <c r="H153" i="24"/>
  <c r="AM153" i="24"/>
  <c r="H308" i="24"/>
  <c r="AM308" i="24"/>
  <c r="AM276" i="24"/>
  <c r="H276" i="24"/>
  <c r="AM244" i="24"/>
  <c r="H244" i="24"/>
  <c r="AM171" i="24"/>
  <c r="H171" i="24"/>
  <c r="H135" i="24"/>
  <c r="AM135" i="24"/>
  <c r="H258" i="24"/>
  <c r="AM258" i="24"/>
  <c r="H194" i="24"/>
  <c r="AM194" i="24"/>
  <c r="H189" i="24"/>
  <c r="AM189" i="24"/>
  <c r="AM122" i="24"/>
  <c r="H122" i="24"/>
  <c r="H172" i="24"/>
  <c r="AM172" i="24"/>
  <c r="H140" i="24"/>
  <c r="AM140" i="24"/>
  <c r="AM311" i="24"/>
  <c r="H311" i="24"/>
  <c r="AM279" i="24"/>
  <c r="H279" i="24"/>
  <c r="AM231" i="24"/>
  <c r="H231" i="24"/>
  <c r="H199" i="24"/>
  <c r="AM199" i="24"/>
  <c r="AM121" i="24"/>
  <c r="H121" i="24"/>
  <c r="H191" i="24"/>
  <c r="AM191" i="24"/>
  <c r="H131" i="24"/>
  <c r="AM131" i="24"/>
  <c r="AM262" i="24"/>
  <c r="H262" i="24"/>
  <c r="AM111" i="24"/>
  <c r="H111" i="24"/>
  <c r="AM182" i="24"/>
  <c r="H182" i="24"/>
  <c r="H166" i="24"/>
  <c r="AM166" i="24"/>
  <c r="AM150" i="24"/>
  <c r="H150" i="24"/>
  <c r="H134" i="24"/>
  <c r="AM134" i="24"/>
  <c r="AM305" i="24"/>
  <c r="H305" i="24"/>
  <c r="H289" i="24"/>
  <c r="AM289" i="24"/>
  <c r="H273" i="24"/>
  <c r="AM273" i="24"/>
  <c r="H257" i="24"/>
  <c r="AM257" i="24"/>
  <c r="H241" i="24"/>
  <c r="AM241" i="24"/>
  <c r="AM225" i="24"/>
  <c r="H225" i="24"/>
  <c r="AM155" i="24"/>
  <c r="H155" i="24"/>
  <c r="H278" i="24"/>
  <c r="AM278" i="24"/>
  <c r="AM230" i="24"/>
  <c r="H230" i="24"/>
  <c r="AM123" i="24"/>
  <c r="H123" i="24"/>
  <c r="AM173" i="24"/>
  <c r="H173" i="24"/>
  <c r="AM145" i="24"/>
  <c r="H145" i="24"/>
  <c r="AM316" i="24"/>
  <c r="H316" i="24"/>
  <c r="H300" i="24"/>
  <c r="AM300" i="24"/>
  <c r="AM284" i="24"/>
  <c r="H284" i="24"/>
  <c r="AM268" i="24"/>
  <c r="H268" i="24"/>
  <c r="AM252" i="24"/>
  <c r="H252" i="24"/>
  <c r="AM236" i="24"/>
  <c r="H236" i="24"/>
  <c r="AM220" i="24"/>
  <c r="H220" i="24"/>
  <c r="H151" i="24"/>
  <c r="AM151" i="24"/>
  <c r="H314" i="24"/>
  <c r="AM314" i="24"/>
  <c r="H274" i="24"/>
  <c r="AM274" i="24"/>
  <c r="H234" i="24"/>
  <c r="AM234" i="24"/>
  <c r="H210" i="24"/>
  <c r="AM210" i="24"/>
  <c r="H127" i="24"/>
  <c r="AM127" i="24"/>
  <c r="AM201" i="24"/>
  <c r="H201" i="24"/>
  <c r="AM177" i="24"/>
  <c r="H177" i="24"/>
  <c r="H130" i="24"/>
  <c r="AM130" i="24"/>
  <c r="H114" i="24"/>
  <c r="AM114" i="24"/>
  <c r="AM196" i="24"/>
  <c r="H196" i="24"/>
  <c r="AM180" i="24"/>
  <c r="H180" i="24"/>
  <c r="H164" i="24"/>
  <c r="AM164" i="24"/>
  <c r="AM148" i="24"/>
  <c r="H148" i="24"/>
  <c r="H132" i="24"/>
  <c r="AM132" i="24"/>
  <c r="H303" i="24"/>
  <c r="AM303" i="24"/>
  <c r="H287" i="24"/>
  <c r="AM287" i="24"/>
  <c r="AM271" i="24"/>
  <c r="H271" i="24"/>
  <c r="AM255" i="24"/>
  <c r="H255" i="24"/>
  <c r="H239" i="24"/>
  <c r="AM239" i="24"/>
  <c r="H223" i="24"/>
  <c r="AM223" i="24"/>
  <c r="H203" i="24"/>
  <c r="AM203" i="24"/>
  <c r="AM129" i="24"/>
  <c r="H129" i="24"/>
  <c r="H179" i="24"/>
  <c r="AM179" i="24"/>
  <c r="H310" i="24"/>
  <c r="AM310" i="24"/>
  <c r="H250" i="24"/>
  <c r="AM250" i="24"/>
  <c r="H120" i="24"/>
  <c r="AM120" i="24"/>
  <c r="H178" i="24"/>
  <c r="AM178" i="24"/>
  <c r="AM162" i="24"/>
  <c r="H162" i="24"/>
  <c r="H146" i="24"/>
  <c r="AM146" i="24"/>
  <c r="AM218" i="24"/>
  <c r="H218" i="24"/>
  <c r="H301" i="24"/>
  <c r="AM301" i="24"/>
  <c r="AM285" i="24"/>
  <c r="H285" i="24"/>
  <c r="H269" i="24"/>
  <c r="AM269" i="24"/>
  <c r="H253" i="24"/>
  <c r="AM253" i="24"/>
  <c r="AM237" i="24"/>
  <c r="H237" i="24"/>
  <c r="H221" i="24"/>
  <c r="AM221" i="24"/>
  <c r="AM139" i="24"/>
  <c r="H139" i="24"/>
  <c r="AM266" i="24"/>
  <c r="H266" i="24"/>
  <c r="AM116" i="24"/>
  <c r="H116" i="24"/>
  <c r="AM209" i="24"/>
  <c r="H209" i="24"/>
  <c r="AM165" i="24"/>
  <c r="H165" i="24"/>
  <c r="H141" i="24"/>
  <c r="AM141" i="24"/>
  <c r="H312" i="24"/>
  <c r="AM312" i="24"/>
  <c r="AM296" i="24"/>
  <c r="H296" i="24"/>
  <c r="H280" i="24"/>
  <c r="AM280" i="24"/>
  <c r="AM264" i="24"/>
  <c r="H264" i="24"/>
  <c r="AM248" i="24"/>
  <c r="H248" i="24"/>
  <c r="H232" i="24"/>
  <c r="AM232" i="24"/>
  <c r="H175" i="24"/>
  <c r="AM175" i="24"/>
  <c r="H143" i="24"/>
  <c r="AM143" i="24"/>
  <c r="H302" i="24"/>
  <c r="AM302" i="24"/>
  <c r="H270" i="24"/>
  <c r="AM270" i="24"/>
  <c r="AM222" i="24"/>
  <c r="H222" i="24"/>
  <c r="AM206" i="24"/>
  <c r="H206" i="24"/>
  <c r="H119" i="24"/>
  <c r="AM119" i="24"/>
  <c r="H193" i="24"/>
  <c r="AM193" i="24"/>
  <c r="AM169" i="24"/>
  <c r="H169" i="24"/>
  <c r="H126" i="24"/>
  <c r="AM126" i="24"/>
  <c r="AM208" i="24"/>
  <c r="H208" i="24"/>
  <c r="AM192" i="24"/>
  <c r="H192" i="24"/>
  <c r="AM176" i="24"/>
  <c r="H176" i="24"/>
  <c r="H160" i="24"/>
  <c r="AM160" i="24"/>
  <c r="H144" i="24"/>
  <c r="AM144" i="24"/>
  <c r="AM315" i="24"/>
  <c r="H315" i="24"/>
  <c r="AM299" i="24"/>
  <c r="H299" i="24"/>
  <c r="H283" i="24"/>
  <c r="AM283" i="24"/>
  <c r="H267" i="24"/>
  <c r="AM267" i="24"/>
  <c r="H251" i="24"/>
  <c r="AM251" i="24"/>
  <c r="H235" i="24"/>
  <c r="AM235" i="24"/>
  <c r="AM219" i="24"/>
  <c r="H219" i="24"/>
  <c r="G52" i="23"/>
  <c r="H52" i="23" s="1"/>
  <c r="G87" i="23"/>
  <c r="H87" i="23" s="1"/>
  <c r="G47" i="23"/>
  <c r="H47" i="23" s="1"/>
  <c r="G15" i="23"/>
  <c r="H15" i="23" s="1"/>
  <c r="P300" i="24"/>
  <c r="P274" i="24"/>
  <c r="P306" i="24"/>
  <c r="P227" i="24"/>
  <c r="P255" i="24"/>
  <c r="P284" i="24"/>
  <c r="P316" i="24"/>
  <c r="P237" i="24"/>
  <c r="P308" i="24"/>
  <c r="P246" i="24"/>
  <c r="P262" i="24"/>
  <c r="P294" i="24"/>
  <c r="P310" i="24"/>
  <c r="P231" i="24"/>
  <c r="P295" i="24"/>
  <c r="P292" i="24"/>
  <c r="P225" i="24"/>
  <c r="P241" i="24"/>
  <c r="P257" i="24"/>
  <c r="P289" i="24"/>
  <c r="P259" i="24"/>
  <c r="P288" i="24"/>
  <c r="P218" i="24"/>
  <c r="P266" i="24"/>
  <c r="P239" i="24"/>
  <c r="P304" i="24"/>
  <c r="P229" i="24"/>
  <c r="G34" i="23"/>
  <c r="H34" i="23" s="1"/>
  <c r="P217" i="24"/>
  <c r="P233" i="24"/>
  <c r="P249" i="24"/>
  <c r="P265" i="24"/>
  <c r="P313" i="24"/>
  <c r="P275" i="24"/>
  <c r="P303" i="24"/>
  <c r="P240" i="24"/>
  <c r="P226" i="24"/>
  <c r="P242" i="24"/>
  <c r="P258" i="24"/>
  <c r="P290" i="24"/>
  <c r="P287" i="24"/>
  <c r="P220" i="24"/>
  <c r="P252" i="24"/>
  <c r="P269" i="24"/>
  <c r="P301" i="24"/>
  <c r="P251" i="24"/>
  <c r="P283" i="24"/>
  <c r="P311" i="24"/>
  <c r="P248" i="24"/>
  <c r="P230" i="24"/>
  <c r="P278" i="24"/>
  <c r="P263" i="24"/>
  <c r="P228" i="24"/>
  <c r="P260" i="24"/>
  <c r="P293" i="24"/>
  <c r="P281" i="24"/>
  <c r="P297" i="24"/>
  <c r="P243" i="24"/>
  <c r="P272" i="24"/>
  <c r="P221" i="24"/>
  <c r="P253" i="24"/>
  <c r="P285" i="24"/>
  <c r="P280" i="24"/>
  <c r="P256" i="24"/>
  <c r="P277" i="24"/>
  <c r="P309" i="24"/>
  <c r="P235" i="24"/>
  <c r="P296" i="24"/>
  <c r="P222" i="24"/>
  <c r="P286" i="24"/>
  <c r="P302" i="24"/>
  <c r="P247" i="24"/>
  <c r="P244" i="24"/>
  <c r="P276" i="24"/>
  <c r="P312" i="24"/>
  <c r="P273" i="24"/>
  <c r="P305" i="24"/>
  <c r="P219" i="24"/>
  <c r="P291" i="24"/>
  <c r="P224" i="24"/>
  <c r="P234" i="24"/>
  <c r="P250" i="24"/>
  <c r="P282" i="24"/>
  <c r="P298" i="24"/>
  <c r="P314" i="24"/>
  <c r="P271" i="24"/>
  <c r="P307" i="24"/>
  <c r="P236" i="24"/>
  <c r="P268" i="24"/>
  <c r="P245" i="24"/>
  <c r="P261" i="24"/>
  <c r="P267" i="24"/>
  <c r="P299" i="24"/>
  <c r="P232" i="24"/>
  <c r="P264" i="24"/>
  <c r="P238" i="24"/>
  <c r="P254" i="24"/>
  <c r="P270" i="24"/>
  <c r="P223" i="24"/>
  <c r="P279" i="24"/>
  <c r="P315" i="24"/>
  <c r="AM104" i="24"/>
  <c r="AM40" i="24"/>
  <c r="AM95" i="24"/>
  <c r="AM31" i="24"/>
  <c r="AM81" i="24"/>
  <c r="AM58" i="24"/>
  <c r="AM10" i="24"/>
  <c r="AM65" i="24"/>
  <c r="AM100" i="24"/>
  <c r="AM36" i="24"/>
  <c r="AM37" i="24"/>
  <c r="AM43" i="24"/>
  <c r="AM69" i="24"/>
  <c r="AM54" i="24"/>
  <c r="AM22" i="24"/>
  <c r="AM85" i="24"/>
  <c r="AM49" i="24"/>
  <c r="AM25" i="24"/>
  <c r="AM9" i="24"/>
  <c r="AM92" i="24"/>
  <c r="AM76" i="24"/>
  <c r="AM60" i="24"/>
  <c r="AM44" i="24"/>
  <c r="AM28" i="24"/>
  <c r="AM12" i="24"/>
  <c r="AM73" i="24"/>
  <c r="AM99" i="24"/>
  <c r="AM83" i="24"/>
  <c r="AM67" i="24"/>
  <c r="AM51" i="24"/>
  <c r="AM35" i="24"/>
  <c r="AM19" i="24"/>
  <c r="AM93" i="24"/>
  <c r="AM41" i="24"/>
  <c r="AM94" i="24"/>
  <c r="AM78" i="24"/>
  <c r="AM62" i="24"/>
  <c r="AM46" i="24"/>
  <c r="AM30" i="24"/>
  <c r="AM14" i="24"/>
  <c r="AM77" i="24"/>
  <c r="AM88" i="24"/>
  <c r="AM56" i="24"/>
  <c r="AM61" i="24"/>
  <c r="AM63" i="24"/>
  <c r="AM42" i="24"/>
  <c r="AM17" i="24"/>
  <c r="AM68" i="24"/>
  <c r="AM101" i="24"/>
  <c r="AM75" i="24"/>
  <c r="AM11" i="24"/>
  <c r="AM70" i="24"/>
  <c r="AM45" i="24"/>
  <c r="AM21" i="24"/>
  <c r="AM72" i="24"/>
  <c r="AM24" i="24"/>
  <c r="AM8" i="24"/>
  <c r="AM79" i="24"/>
  <c r="AM47" i="24"/>
  <c r="AM15" i="24"/>
  <c r="AM90" i="24"/>
  <c r="AM74" i="24"/>
  <c r="AM26" i="24"/>
  <c r="AM105" i="24"/>
  <c r="AM33" i="24"/>
  <c r="AM84" i="24"/>
  <c r="AM52" i="24"/>
  <c r="AM20" i="24"/>
  <c r="AM91" i="24"/>
  <c r="AM59" i="24"/>
  <c r="AM27" i="24"/>
  <c r="AM102" i="24"/>
  <c r="AM86" i="24"/>
  <c r="AM38" i="24"/>
  <c r="AM6" i="24"/>
  <c r="AM97" i="24"/>
  <c r="AM57" i="24"/>
  <c r="AM29" i="24"/>
  <c r="AM13" i="24"/>
  <c r="AM96" i="24"/>
  <c r="AM80" i="24"/>
  <c r="AM64" i="24"/>
  <c r="AM48" i="24"/>
  <c r="AM32" i="24"/>
  <c r="AM16" i="24"/>
  <c r="AM89" i="24"/>
  <c r="AM103" i="24"/>
  <c r="AM87" i="24"/>
  <c r="AM71" i="24"/>
  <c r="AM55" i="24"/>
  <c r="AM39" i="24"/>
  <c r="AM23" i="24"/>
  <c r="AM7" i="24"/>
  <c r="AM53" i="24"/>
  <c r="AM98" i="24"/>
  <c r="AM82" i="24"/>
  <c r="AM66" i="24"/>
  <c r="AM50" i="24"/>
  <c r="AM34" i="24"/>
  <c r="AM18" i="24"/>
  <c r="Q34" i="23"/>
  <c r="Q44" i="23"/>
  <c r="Q106" i="23"/>
  <c r="Q14" i="23"/>
  <c r="Q81" i="23"/>
  <c r="Q91" i="23"/>
  <c r="Q6" i="23"/>
  <c r="Q48" i="23"/>
  <c r="Q82" i="23"/>
  <c r="Q93" i="23"/>
  <c r="Q22" i="23"/>
  <c r="Q99" i="23"/>
  <c r="Q42" i="23"/>
  <c r="Q35" i="23"/>
  <c r="H49" i="24"/>
  <c r="H92" i="24"/>
  <c r="H28" i="24"/>
  <c r="H67" i="24"/>
  <c r="H19" i="24"/>
  <c r="H94" i="24"/>
  <c r="H46" i="24"/>
  <c r="H30" i="24"/>
  <c r="Q9" i="23"/>
  <c r="Q78" i="23"/>
  <c r="Q75" i="23"/>
  <c r="Q88" i="23"/>
  <c r="Q63" i="23"/>
  <c r="Q101" i="23"/>
  <c r="Q29" i="23"/>
  <c r="Q98" i="23"/>
  <c r="Q19" i="23"/>
  <c r="Q12" i="23"/>
  <c r="Q89" i="23"/>
  <c r="Q33" i="23"/>
  <c r="Q38" i="23"/>
  <c r="Q102" i="23"/>
  <c r="Q27" i="23"/>
  <c r="Q95" i="23"/>
  <c r="Q37" i="23"/>
  <c r="Q58" i="23"/>
  <c r="Q7" i="23"/>
  <c r="Q28" i="23"/>
  <c r="Q47" i="23"/>
  <c r="J24" i="23"/>
  <c r="K24" i="23" s="1"/>
  <c r="J97" i="23"/>
  <c r="K97" i="23" s="1"/>
  <c r="H77" i="24"/>
  <c r="H45" i="24"/>
  <c r="H21" i="24"/>
  <c r="H104" i="24"/>
  <c r="H88" i="24"/>
  <c r="H72" i="24"/>
  <c r="H56" i="24"/>
  <c r="H40" i="24"/>
  <c r="H24" i="24"/>
  <c r="H8" i="24"/>
  <c r="H61" i="24"/>
  <c r="H95" i="24"/>
  <c r="H79" i="24"/>
  <c r="H63" i="24"/>
  <c r="H47" i="24"/>
  <c r="H31" i="24"/>
  <c r="H15" i="24"/>
  <c r="H81" i="24"/>
  <c r="H5" i="24"/>
  <c r="BY5" i="24" s="1"/>
  <c r="H90" i="24"/>
  <c r="H74" i="24"/>
  <c r="H58" i="24"/>
  <c r="H42" i="24"/>
  <c r="H26" i="24"/>
  <c r="H10" i="24"/>
  <c r="Q23" i="23"/>
  <c r="Q59" i="23"/>
  <c r="Q13" i="23"/>
  <c r="Q76" i="23"/>
  <c r="Q17" i="23"/>
  <c r="Q96" i="23"/>
  <c r="Q21" i="23"/>
  <c r="Q87" i="23"/>
  <c r="H25" i="24"/>
  <c r="H76" i="24"/>
  <c r="H12" i="24"/>
  <c r="H99" i="24"/>
  <c r="H35" i="24"/>
  <c r="H41" i="24"/>
  <c r="H62" i="24"/>
  <c r="H14" i="24"/>
  <c r="Q94" i="23"/>
  <c r="Q71" i="23"/>
  <c r="Q84" i="23"/>
  <c r="Q24" i="23"/>
  <c r="Q97" i="23"/>
  <c r="Q54" i="23"/>
  <c r="Q103" i="23"/>
  <c r="Q20" i="23"/>
  <c r="Q31" i="23"/>
  <c r="Q10" i="23"/>
  <c r="Q40" i="23"/>
  <c r="Q64" i="23"/>
  <c r="Q61" i="23"/>
  <c r="Q57" i="23"/>
  <c r="H105" i="24"/>
  <c r="H65" i="24"/>
  <c r="H33" i="24"/>
  <c r="H17" i="24"/>
  <c r="H100" i="24"/>
  <c r="H84" i="24"/>
  <c r="H68" i="24"/>
  <c r="H52" i="24"/>
  <c r="H36" i="24"/>
  <c r="H20" i="24"/>
  <c r="H101" i="24"/>
  <c r="H37" i="24"/>
  <c r="H91" i="24"/>
  <c r="H75" i="24"/>
  <c r="H59" i="24"/>
  <c r="H43" i="24"/>
  <c r="H27" i="24"/>
  <c r="H11" i="24"/>
  <c r="H69" i="24"/>
  <c r="H102" i="24"/>
  <c r="H86" i="24"/>
  <c r="H70" i="24"/>
  <c r="H54" i="24"/>
  <c r="H38" i="24"/>
  <c r="H22" i="24"/>
  <c r="H6" i="24"/>
  <c r="Q62" i="23"/>
  <c r="Q67" i="23"/>
  <c r="Q36" i="23"/>
  <c r="Q85" i="23"/>
  <c r="Q68" i="23"/>
  <c r="Q86" i="23"/>
  <c r="Q73" i="23"/>
  <c r="Q104" i="23"/>
  <c r="Q100" i="23"/>
  <c r="H85" i="24"/>
  <c r="H9" i="24"/>
  <c r="H60" i="24"/>
  <c r="H44" i="24"/>
  <c r="H73" i="24"/>
  <c r="H83" i="24"/>
  <c r="H51" i="24"/>
  <c r="H93" i="24"/>
  <c r="H78" i="24"/>
  <c r="Q25" i="23"/>
  <c r="Q30" i="23"/>
  <c r="Q11" i="23"/>
  <c r="Q45" i="23"/>
  <c r="Q50" i="23"/>
  <c r="Q51" i="23"/>
  <c r="Q15" i="23"/>
  <c r="Q49" i="23"/>
  <c r="Q32" i="23"/>
  <c r="Q56" i="23"/>
  <c r="Q74" i="23"/>
  <c r="G82" i="23"/>
  <c r="H82" i="23" s="1"/>
  <c r="G102" i="23"/>
  <c r="H102" i="23" s="1"/>
  <c r="G13" i="23"/>
  <c r="H13" i="23" s="1"/>
  <c r="G104" i="23"/>
  <c r="H104" i="23" s="1"/>
  <c r="Q41" i="23"/>
  <c r="Q46" i="23"/>
  <c r="Q16" i="23"/>
  <c r="Q92" i="23"/>
  <c r="Q43" i="23"/>
  <c r="Q105" i="23"/>
  <c r="Q18" i="23"/>
  <c r="Q66" i="23"/>
  <c r="Q55" i="23"/>
  <c r="Q39" i="23"/>
  <c r="Q72" i="23"/>
  <c r="Q69" i="23"/>
  <c r="Q70" i="23"/>
  <c r="Q60" i="23"/>
  <c r="Q53" i="23"/>
  <c r="Q77" i="23"/>
  <c r="Q52" i="23"/>
  <c r="Q80" i="23"/>
  <c r="Q26" i="23"/>
  <c r="Q90" i="23"/>
  <c r="Q65" i="23"/>
  <c r="Q8" i="23"/>
  <c r="Q83" i="23"/>
  <c r="Q79" i="23"/>
  <c r="H97" i="24"/>
  <c r="H57" i="24"/>
  <c r="H29" i="24"/>
  <c r="H13" i="24"/>
  <c r="H96" i="24"/>
  <c r="H80" i="24"/>
  <c r="H64" i="24"/>
  <c r="H48" i="24"/>
  <c r="H32" i="24"/>
  <c r="H16" i="24"/>
  <c r="H89" i="24"/>
  <c r="H103" i="24"/>
  <c r="H87" i="24"/>
  <c r="H71" i="24"/>
  <c r="H55" i="24"/>
  <c r="H39" i="24"/>
  <c r="H23" i="24"/>
  <c r="H7" i="24"/>
  <c r="H53" i="24"/>
  <c r="H98" i="24"/>
  <c r="H82" i="24"/>
  <c r="H66" i="24"/>
  <c r="H50" i="24"/>
  <c r="H34" i="24"/>
  <c r="H18" i="24"/>
  <c r="G85" i="23"/>
  <c r="H85" i="23" s="1"/>
  <c r="J83" i="23"/>
  <c r="L83" i="23" s="1"/>
  <c r="G12" i="23"/>
  <c r="H12" i="23" s="1"/>
  <c r="J65" i="23"/>
  <c r="L65" i="23" s="1"/>
  <c r="G61" i="23"/>
  <c r="H61" i="23" s="1"/>
  <c r="J58" i="23"/>
  <c r="L58" i="23" s="1"/>
  <c r="J100" i="23"/>
  <c r="K100" i="23" s="1"/>
  <c r="G26" i="23"/>
  <c r="H26" i="23" s="1"/>
  <c r="G91" i="23"/>
  <c r="H91" i="23" s="1"/>
  <c r="G40" i="23"/>
  <c r="H40" i="23" s="1"/>
  <c r="G55" i="23"/>
  <c r="H55" i="23" s="1"/>
  <c r="J74" i="23"/>
  <c r="L74" i="23" s="1"/>
  <c r="G35" i="23"/>
  <c r="H35" i="23" s="1"/>
  <c r="G68" i="23"/>
  <c r="H68" i="23" s="1"/>
  <c r="G29" i="23"/>
  <c r="H29" i="23" s="1"/>
  <c r="J72" i="23"/>
  <c r="K72" i="23" s="1"/>
  <c r="G45" i="23"/>
  <c r="H45" i="23" s="1"/>
  <c r="J66" i="23"/>
  <c r="L66" i="23" s="1"/>
  <c r="J95" i="23"/>
  <c r="K95" i="23" s="1"/>
  <c r="J93" i="23"/>
  <c r="L93" i="23" s="1"/>
  <c r="J42" i="23"/>
  <c r="L42" i="23" s="1"/>
  <c r="J57" i="23"/>
  <c r="K57" i="23" s="1"/>
  <c r="G37" i="23"/>
  <c r="H37" i="23" s="1"/>
  <c r="G50" i="23"/>
  <c r="H50" i="23" s="1"/>
  <c r="G64" i="23"/>
  <c r="H64" i="23" s="1"/>
  <c r="G18" i="23"/>
  <c r="H18" i="23" s="1"/>
  <c r="G10" i="23"/>
  <c r="H10" i="23" s="1"/>
  <c r="G28" i="23"/>
  <c r="H28" i="23" s="1"/>
  <c r="G8" i="23"/>
  <c r="H8" i="23" s="1"/>
  <c r="G19" i="23"/>
  <c r="H19" i="23" s="1"/>
  <c r="K26" i="23"/>
  <c r="L26" i="23"/>
  <c r="K44" i="23"/>
  <c r="L44" i="23"/>
  <c r="K102" i="23"/>
  <c r="L102" i="23"/>
  <c r="L56" i="23"/>
  <c r="K56" i="23"/>
  <c r="L35" i="23"/>
  <c r="K35" i="23"/>
  <c r="K13" i="23"/>
  <c r="L13" i="23"/>
  <c r="K30" i="23"/>
  <c r="L30" i="23"/>
  <c r="K73" i="23"/>
  <c r="L73" i="23"/>
  <c r="L16" i="23"/>
  <c r="K16" i="23"/>
  <c r="L43" i="23"/>
  <c r="K43" i="23"/>
  <c r="K33" i="23"/>
  <c r="L33" i="23"/>
  <c r="K92" i="23"/>
  <c r="L92" i="23"/>
  <c r="L59" i="23"/>
  <c r="K59" i="23"/>
  <c r="L104" i="23"/>
  <c r="K104" i="23"/>
  <c r="L47" i="23"/>
  <c r="K47" i="23"/>
  <c r="K45" i="23"/>
  <c r="L45" i="23"/>
  <c r="K101" i="23"/>
  <c r="L101" i="23"/>
  <c r="K37" i="23"/>
  <c r="L37" i="23"/>
  <c r="L79" i="23"/>
  <c r="K79" i="23"/>
  <c r="K22" i="23"/>
  <c r="L22" i="23"/>
  <c r="L12" i="23"/>
  <c r="K12" i="23"/>
  <c r="L39" i="23"/>
  <c r="K39" i="23"/>
  <c r="K21" i="23"/>
  <c r="L21" i="23"/>
  <c r="L75" i="23"/>
  <c r="K75" i="23"/>
  <c r="K17" i="23"/>
  <c r="L17" i="23"/>
  <c r="L71" i="23"/>
  <c r="K71" i="23"/>
  <c r="K69" i="23"/>
  <c r="L69" i="23"/>
  <c r="K9" i="23"/>
  <c r="L9" i="23"/>
  <c r="K29" i="23"/>
  <c r="L29" i="23"/>
  <c r="K14" i="23"/>
  <c r="L14" i="23"/>
  <c r="K53" i="23"/>
  <c r="L53" i="23"/>
  <c r="L55" i="23"/>
  <c r="K55" i="23"/>
  <c r="L51" i="23"/>
  <c r="K51" i="23"/>
  <c r="K41" i="23"/>
  <c r="L41" i="23"/>
  <c r="L96" i="23"/>
  <c r="K96" i="23"/>
  <c r="K82" i="23"/>
  <c r="L82" i="23"/>
  <c r="K50" i="23"/>
  <c r="L50" i="23"/>
  <c r="L6" i="23"/>
  <c r="K6" i="23"/>
  <c r="K61" i="23"/>
  <c r="L61" i="23"/>
  <c r="L7" i="23"/>
  <c r="K7" i="23"/>
  <c r="L87" i="23"/>
  <c r="K87" i="23"/>
  <c r="K85" i="23"/>
  <c r="L85" i="23"/>
  <c r="K25" i="23"/>
  <c r="L25" i="23"/>
  <c r="L91" i="23"/>
  <c r="K91" i="23"/>
  <c r="K38" i="23"/>
  <c r="L38" i="23"/>
  <c r="K81" i="23"/>
  <c r="L81" i="23"/>
  <c r="L31" i="23"/>
  <c r="K31" i="23"/>
  <c r="K106" i="23"/>
  <c r="L106" i="23"/>
  <c r="L80" i="23"/>
  <c r="K80" i="23"/>
  <c r="L8" i="23"/>
  <c r="K8" i="23"/>
  <c r="K54" i="23"/>
  <c r="L54" i="23"/>
  <c r="K28" i="23"/>
  <c r="L28" i="23"/>
  <c r="K70" i="23"/>
  <c r="L70" i="23"/>
  <c r="L40" i="23"/>
  <c r="K40" i="23"/>
  <c r="L19" i="23"/>
  <c r="K19" i="23"/>
  <c r="K78" i="23"/>
  <c r="L78" i="23"/>
  <c r="K68" i="23"/>
  <c r="L68" i="23"/>
  <c r="L15" i="23"/>
  <c r="K15" i="23"/>
  <c r="L64" i="23"/>
  <c r="K64" i="23"/>
  <c r="L27" i="23"/>
  <c r="K27" i="23"/>
  <c r="K76" i="23"/>
  <c r="L76" i="23"/>
  <c r="L99" i="23"/>
  <c r="K99" i="23"/>
  <c r="K46" i="23"/>
  <c r="L46" i="23"/>
  <c r="K89" i="23"/>
  <c r="L89" i="23"/>
  <c r="K94" i="23"/>
  <c r="L94" i="23"/>
  <c r="K52" i="23"/>
  <c r="L52" i="23"/>
  <c r="L48" i="23"/>
  <c r="K48" i="23"/>
  <c r="L11" i="23"/>
  <c r="K11" i="23"/>
  <c r="K62" i="23"/>
  <c r="L62" i="23"/>
  <c r="L23" i="23"/>
  <c r="K23" i="23"/>
  <c r="K86" i="23"/>
  <c r="L86" i="23"/>
  <c r="K10" i="23"/>
  <c r="L10" i="23"/>
  <c r="K36" i="23"/>
  <c r="L36" i="23"/>
  <c r="K105" i="23"/>
  <c r="L105" i="23"/>
  <c r="L32" i="23"/>
  <c r="K32" i="23"/>
  <c r="K18" i="23"/>
  <c r="L18" i="23"/>
  <c r="K98" i="23"/>
  <c r="L98" i="23"/>
  <c r="K90" i="23"/>
  <c r="L90" i="23"/>
  <c r="K34" i="23"/>
  <c r="L34" i="23"/>
  <c r="C237" i="2"/>
  <c r="B237" i="2"/>
  <c r="B153" i="2"/>
  <c r="A196" i="2"/>
  <c r="F237" i="2"/>
  <c r="B238" i="2"/>
  <c r="H238" i="2"/>
  <c r="C43" i="16" s="1"/>
  <c r="F150" i="2"/>
  <c r="E38" i="1" s="1"/>
  <c r="A197" i="2" s="1"/>
  <c r="G150" i="2"/>
  <c r="G238" i="2"/>
  <c r="C238" i="2"/>
  <c r="A238" i="2" s="1"/>
  <c r="B152" i="2"/>
  <c r="AO2" i="19"/>
  <c r="H241" i="2"/>
  <c r="F241" i="2"/>
  <c r="K48" i="16"/>
  <c r="M48" i="16" s="1"/>
  <c r="B203" i="2"/>
  <c r="A203" i="2"/>
  <c r="E30" i="1"/>
  <c r="A2" i="21"/>
  <c r="K48" i="2"/>
  <c r="G89" i="19"/>
  <c r="G64" i="19"/>
  <c r="G65" i="19"/>
  <c r="G90" i="19"/>
  <c r="G91" i="19"/>
  <c r="AY106" i="19"/>
  <c r="G66" i="19"/>
  <c r="BN106" i="19"/>
  <c r="B38" i="2" l="1"/>
  <c r="D38" i="2" s="1"/>
  <c r="CE130" i="25"/>
  <c r="CE125" i="25"/>
  <c r="CE204" i="25"/>
  <c r="CE124" i="25"/>
  <c r="CE127" i="25"/>
  <c r="CE123" i="25"/>
  <c r="CE160" i="25"/>
  <c r="CE112" i="25"/>
  <c r="CE114" i="25"/>
  <c r="CE208" i="25"/>
  <c r="CE190" i="25"/>
  <c r="CE117" i="25"/>
  <c r="CE134" i="25"/>
  <c r="CE169" i="25"/>
  <c r="CE137" i="25"/>
  <c r="CE209" i="25"/>
  <c r="CE141" i="25"/>
  <c r="CE196" i="25"/>
  <c r="CE140" i="25"/>
  <c r="CE122" i="25"/>
  <c r="CE126" i="25"/>
  <c r="CE156" i="25"/>
  <c r="CE175" i="25"/>
  <c r="CE128" i="25"/>
  <c r="CE120" i="25"/>
  <c r="CE116" i="25"/>
  <c r="CE138" i="25"/>
  <c r="CE205" i="25"/>
  <c r="CE153" i="25"/>
  <c r="CE119" i="25"/>
  <c r="CE139" i="25"/>
  <c r="CE210" i="25"/>
  <c r="CE152" i="25"/>
  <c r="CE115" i="25"/>
  <c r="CE155" i="25"/>
  <c r="CE181" i="25"/>
  <c r="CE111" i="25"/>
  <c r="CE131" i="25"/>
  <c r="CE118" i="25"/>
  <c r="CE113" i="25"/>
  <c r="BY195" i="24"/>
  <c r="BY200" i="25"/>
  <c r="BY188" i="25"/>
  <c r="BY124" i="25"/>
  <c r="BY160" i="25"/>
  <c r="BY198" i="25"/>
  <c r="BY203" i="25"/>
  <c r="BY171" i="25"/>
  <c r="BY155" i="25"/>
  <c r="BY123" i="25"/>
  <c r="BY150" i="25"/>
  <c r="BY134" i="25"/>
  <c r="BY209" i="25"/>
  <c r="BY177" i="25"/>
  <c r="BY145" i="25"/>
  <c r="BY113" i="25"/>
  <c r="BY171" i="24"/>
  <c r="BY185" i="24"/>
  <c r="BY156" i="24"/>
  <c r="BY180" i="25"/>
  <c r="BY194" i="25"/>
  <c r="BY144" i="25"/>
  <c r="BY190" i="25"/>
  <c r="BY136" i="25"/>
  <c r="BY199" i="25"/>
  <c r="BY183" i="25"/>
  <c r="BY167" i="25"/>
  <c r="BY135" i="25"/>
  <c r="BY119" i="25"/>
  <c r="BY178" i="25"/>
  <c r="BY162" i="25"/>
  <c r="BY130" i="25"/>
  <c r="BY114" i="25"/>
  <c r="BY189" i="25"/>
  <c r="BY157" i="25"/>
  <c r="BY141" i="25"/>
  <c r="BY172" i="25"/>
  <c r="BY116" i="25"/>
  <c r="BY151" i="25"/>
  <c r="BY146" i="25"/>
  <c r="BY205" i="25"/>
  <c r="BY173" i="25"/>
  <c r="BY125" i="25"/>
  <c r="BY132" i="25"/>
  <c r="BY202" i="25"/>
  <c r="BY140" i="25"/>
  <c r="BY152" i="25"/>
  <c r="BY187" i="25"/>
  <c r="BY139" i="25"/>
  <c r="BY166" i="25"/>
  <c r="BY118" i="25"/>
  <c r="BY193" i="25"/>
  <c r="BY161" i="25"/>
  <c r="BY129" i="25"/>
  <c r="BY204" i="25"/>
  <c r="BY164" i="25"/>
  <c r="BY192" i="25"/>
  <c r="BY186" i="25"/>
  <c r="BY128" i="25"/>
  <c r="BY208" i="25"/>
  <c r="BY182" i="25"/>
  <c r="BY120" i="25"/>
  <c r="BY195" i="25"/>
  <c r="BY179" i="25"/>
  <c r="BY163" i="25"/>
  <c r="BY147" i="25"/>
  <c r="BY131" i="25"/>
  <c r="BY115" i="25"/>
  <c r="BY174" i="25"/>
  <c r="BY158" i="25"/>
  <c r="BY142" i="25"/>
  <c r="BY126" i="25"/>
  <c r="BY201" i="25"/>
  <c r="BY185" i="25"/>
  <c r="BY169" i="25"/>
  <c r="BY153" i="25"/>
  <c r="BY137" i="25"/>
  <c r="BY121" i="25"/>
  <c r="Q210" i="24"/>
  <c r="BY196" i="25"/>
  <c r="BY148" i="25"/>
  <c r="BY156" i="25"/>
  <c r="BY210" i="25"/>
  <c r="BY176" i="25"/>
  <c r="BY112" i="25"/>
  <c r="BY184" i="25"/>
  <c r="BY206" i="25"/>
  <c r="BY168" i="25"/>
  <c r="BY207" i="25"/>
  <c r="BY191" i="25"/>
  <c r="BY175" i="25"/>
  <c r="BY159" i="25"/>
  <c r="BY143" i="25"/>
  <c r="BY127" i="25"/>
  <c r="BY111" i="25"/>
  <c r="BY170" i="25"/>
  <c r="BY154" i="25"/>
  <c r="BY138" i="25"/>
  <c r="BY122" i="25"/>
  <c r="BY197" i="25"/>
  <c r="BY181" i="25"/>
  <c r="BY165" i="25"/>
  <c r="BY149" i="25"/>
  <c r="BY133" i="25"/>
  <c r="BY117" i="25"/>
  <c r="BY110" i="25"/>
  <c r="BY130" i="24"/>
  <c r="BY133" i="24"/>
  <c r="BY139" i="24"/>
  <c r="BY158" i="24"/>
  <c r="BY190" i="24"/>
  <c r="BY174" i="24"/>
  <c r="BY151" i="24"/>
  <c r="BY166" i="24"/>
  <c r="BY117" i="24"/>
  <c r="BY114" i="24"/>
  <c r="BY147" i="24"/>
  <c r="BY146" i="24"/>
  <c r="BY120" i="24"/>
  <c r="BY153" i="24"/>
  <c r="BY144" i="24"/>
  <c r="BY168" i="24"/>
  <c r="BY209" i="24"/>
  <c r="BY113" i="24"/>
  <c r="BY204" i="24"/>
  <c r="BY193" i="24"/>
  <c r="BY143" i="24"/>
  <c r="BY132" i="24"/>
  <c r="BY189" i="24"/>
  <c r="BY176" i="24"/>
  <c r="BY198" i="24"/>
  <c r="BY191" i="24"/>
  <c r="J253" i="24"/>
  <c r="X253" i="24" s="1"/>
  <c r="AA253" i="24" s="1"/>
  <c r="AB253" i="24" s="1"/>
  <c r="AC253" i="24" s="1"/>
  <c r="J190" i="24"/>
  <c r="AI190" i="24" s="1"/>
  <c r="O254" i="24"/>
  <c r="J305" i="24"/>
  <c r="X305" i="24" s="1"/>
  <c r="AA305" i="24" s="1"/>
  <c r="AB305" i="24" s="1"/>
  <c r="AC305" i="24" s="1"/>
  <c r="O223" i="24"/>
  <c r="J277" i="24"/>
  <c r="AE277" i="24" s="1"/>
  <c r="O243" i="24"/>
  <c r="O285" i="24"/>
  <c r="O251" i="24"/>
  <c r="O218" i="24"/>
  <c r="O279" i="24"/>
  <c r="J130" i="24"/>
  <c r="AI130" i="24" s="1"/>
  <c r="J282" i="24"/>
  <c r="AE282" i="24" s="1"/>
  <c r="J280" i="24"/>
  <c r="AE280" i="24" s="1"/>
  <c r="O307" i="24"/>
  <c r="J260" i="24"/>
  <c r="W260" i="24" s="1"/>
  <c r="Y260" i="24" s="1"/>
  <c r="O236" i="24"/>
  <c r="J171" i="24"/>
  <c r="AI171" i="24" s="1"/>
  <c r="J193" i="24"/>
  <c r="AI193" i="24" s="1"/>
  <c r="J147" i="24"/>
  <c r="AI147" i="24" s="1"/>
  <c r="J158" i="24"/>
  <c r="AI158" i="24" s="1"/>
  <c r="O219" i="24"/>
  <c r="O200" i="24"/>
  <c r="BY200" i="24" s="1"/>
  <c r="J265" i="24"/>
  <c r="AI265" i="24" s="1"/>
  <c r="J191" i="24"/>
  <c r="AI191" i="24" s="1"/>
  <c r="O173" i="24"/>
  <c r="BY173" i="24" s="1"/>
  <c r="O309" i="24"/>
  <c r="O287" i="24"/>
  <c r="J311" i="24"/>
  <c r="X311" i="24" s="1"/>
  <c r="AA311" i="24" s="1"/>
  <c r="AB311" i="24" s="1"/>
  <c r="AC311" i="24" s="1"/>
  <c r="J283" i="24"/>
  <c r="AE283" i="24" s="1"/>
  <c r="J248" i="24"/>
  <c r="AE248" i="24" s="1"/>
  <c r="O288" i="24"/>
  <c r="O247" i="24"/>
  <c r="J132" i="24"/>
  <c r="AI132" i="24" s="1"/>
  <c r="O302" i="24"/>
  <c r="J312" i="24"/>
  <c r="W312" i="24" s="1"/>
  <c r="J290" i="24"/>
  <c r="AI290" i="24" s="1"/>
  <c r="J226" i="24"/>
  <c r="AI226" i="24" s="1"/>
  <c r="O274" i="24"/>
  <c r="O221" i="24"/>
  <c r="O224" i="24"/>
  <c r="O245" i="24"/>
  <c r="O197" i="24"/>
  <c r="BY197" i="24" s="1"/>
  <c r="O202" i="24"/>
  <c r="BY202" i="24" s="1"/>
  <c r="J289" i="24"/>
  <c r="W289" i="24" s="1"/>
  <c r="Y289" i="24" s="1"/>
  <c r="O275" i="24"/>
  <c r="J244" i="24"/>
  <c r="W244" i="24" s="1"/>
  <c r="O227" i="24"/>
  <c r="J257" i="24"/>
  <c r="W257" i="24" s="1"/>
  <c r="Y257" i="24" s="1"/>
  <c r="O240" i="24"/>
  <c r="J299" i="24"/>
  <c r="AI299" i="24" s="1"/>
  <c r="J143" i="24"/>
  <c r="AI143" i="24" s="1"/>
  <c r="J185" i="24"/>
  <c r="AI185" i="24" s="1"/>
  <c r="O235" i="24"/>
  <c r="J176" i="24"/>
  <c r="AI176" i="24" s="1"/>
  <c r="J139" i="24"/>
  <c r="AI139" i="24" s="1"/>
  <c r="O310" i="24"/>
  <c r="O135" i="24"/>
  <c r="BY135" i="24" s="1"/>
  <c r="O180" i="24"/>
  <c r="BY180" i="24" s="1"/>
  <c r="O314" i="24"/>
  <c r="J278" i="24"/>
  <c r="X278" i="24" s="1"/>
  <c r="AA278" i="24" s="1"/>
  <c r="AB278" i="24" s="1"/>
  <c r="AC278" i="24" s="1"/>
  <c r="J262" i="24"/>
  <c r="AE262" i="24" s="1"/>
  <c r="J291" i="24"/>
  <c r="AI291" i="24" s="1"/>
  <c r="O138" i="24"/>
  <c r="BY138" i="24" s="1"/>
  <c r="J237" i="24"/>
  <c r="X237" i="24" s="1"/>
  <c r="AA237" i="24" s="1"/>
  <c r="AB237" i="24" s="1"/>
  <c r="AC237" i="24" s="1"/>
  <c r="O301" i="24"/>
  <c r="O304" i="24"/>
  <c r="J195" i="24"/>
  <c r="AE195" i="24" s="1"/>
  <c r="J198" i="24"/>
  <c r="AI198" i="24" s="1"/>
  <c r="J217" i="24"/>
  <c r="X217" i="24" s="1"/>
  <c r="AA217" i="24" s="1"/>
  <c r="AB217" i="24" s="1"/>
  <c r="AC217" i="24" s="1"/>
  <c r="O140" i="24"/>
  <c r="BY140" i="24" s="1"/>
  <c r="J261" i="24"/>
  <c r="AE261" i="24" s="1"/>
  <c r="O264" i="24"/>
  <c r="O164" i="24"/>
  <c r="BY164" i="24" s="1"/>
  <c r="O234" i="24"/>
  <c r="O220" i="24"/>
  <c r="O118" i="24"/>
  <c r="BY118" i="24" s="1"/>
  <c r="J281" i="24"/>
  <c r="X281" i="24" s="1"/>
  <c r="AA281" i="24" s="1"/>
  <c r="AB281" i="24" s="1"/>
  <c r="AC281" i="24" s="1"/>
  <c r="O315" i="24"/>
  <c r="O126" i="24"/>
  <c r="BY126" i="24" s="1"/>
  <c r="O222" i="24"/>
  <c r="O297" i="24"/>
  <c r="O124" i="24"/>
  <c r="BY124" i="24" s="1"/>
  <c r="O175" i="24"/>
  <c r="BY175" i="24" s="1"/>
  <c r="O266" i="24"/>
  <c r="O178" i="24"/>
  <c r="BY178" i="24" s="1"/>
  <c r="O256" i="24"/>
  <c r="J133" i="24"/>
  <c r="AI133" i="24" s="1"/>
  <c r="J117" i="24"/>
  <c r="AI117" i="24" s="1"/>
  <c r="O233" i="24"/>
  <c r="O294" i="24"/>
  <c r="J114" i="24"/>
  <c r="AI114" i="24" s="1"/>
  <c r="J151" i="24"/>
  <c r="AI151" i="24" s="1"/>
  <c r="O268" i="24"/>
  <c r="O230" i="24"/>
  <c r="O241" i="24"/>
  <c r="J166" i="24"/>
  <c r="AI166" i="24" s="1"/>
  <c r="O121" i="24"/>
  <c r="BY121" i="24" s="1"/>
  <c r="J276" i="24"/>
  <c r="AE276" i="24" s="1"/>
  <c r="J270" i="24"/>
  <c r="AE270" i="24" s="1"/>
  <c r="J204" i="24"/>
  <c r="AI204" i="24" s="1"/>
  <c r="J156" i="24"/>
  <c r="AI156" i="24" s="1"/>
  <c r="J144" i="24"/>
  <c r="AI144" i="24" s="1"/>
  <c r="J209" i="24"/>
  <c r="AI209" i="24" s="1"/>
  <c r="J120" i="24"/>
  <c r="AI120" i="24" s="1"/>
  <c r="J295" i="24"/>
  <c r="X295" i="24" s="1"/>
  <c r="AA295" i="24" s="1"/>
  <c r="AB295" i="24" s="1"/>
  <c r="AC295" i="24" s="1"/>
  <c r="J284" i="24"/>
  <c r="AI284" i="24" s="1"/>
  <c r="J168" i="24"/>
  <c r="AI168" i="24" s="1"/>
  <c r="J267" i="24"/>
  <c r="AI267" i="24" s="1"/>
  <c r="O160" i="24"/>
  <c r="BY160" i="24" s="1"/>
  <c r="J296" i="24"/>
  <c r="AI296" i="24" s="1"/>
  <c r="J146" i="24"/>
  <c r="AI146" i="24" s="1"/>
  <c r="O250" i="24"/>
  <c r="O129" i="24"/>
  <c r="BY129" i="24" s="1"/>
  <c r="J246" i="24"/>
  <c r="X246" i="24" s="1"/>
  <c r="AA246" i="24" s="1"/>
  <c r="AB246" i="24" s="1"/>
  <c r="AC246" i="24" s="1"/>
  <c r="O303" i="24"/>
  <c r="J252" i="24"/>
  <c r="AI252" i="24" s="1"/>
  <c r="O316" i="24"/>
  <c r="J225" i="24"/>
  <c r="W225" i="24" s="1"/>
  <c r="Y225" i="24" s="1"/>
  <c r="O286" i="24"/>
  <c r="J238" i="24"/>
  <c r="X238" i="24" s="1"/>
  <c r="AA238" i="24" s="1"/>
  <c r="AB238" i="24" s="1"/>
  <c r="AC238" i="24" s="1"/>
  <c r="J189" i="24"/>
  <c r="AI189" i="24" s="1"/>
  <c r="J313" i="24"/>
  <c r="X313" i="24" s="1"/>
  <c r="AA313" i="24" s="1"/>
  <c r="AB313" i="24" s="1"/>
  <c r="AC313" i="24" s="1"/>
  <c r="J232" i="24"/>
  <c r="AI232" i="24" s="1"/>
  <c r="J269" i="24"/>
  <c r="AI269" i="24" s="1"/>
  <c r="J255" i="24"/>
  <c r="AI255" i="24" s="1"/>
  <c r="J263" i="24"/>
  <c r="AI263" i="24" s="1"/>
  <c r="J298" i="24"/>
  <c r="AE298" i="24" s="1"/>
  <c r="J308" i="24"/>
  <c r="X308" i="24" s="1"/>
  <c r="AA308" i="24" s="1"/>
  <c r="AB308" i="24" s="1"/>
  <c r="AC308" i="24" s="1"/>
  <c r="J242" i="24"/>
  <c r="AI242" i="24" s="1"/>
  <c r="O259" i="24"/>
  <c r="O258" i="24"/>
  <c r="O228" i="24"/>
  <c r="O292" i="24"/>
  <c r="O239" i="24"/>
  <c r="O271" i="24"/>
  <c r="O127" i="24"/>
  <c r="BY127" i="24" s="1"/>
  <c r="O300" i="24"/>
  <c r="O273" i="24"/>
  <c r="O111" i="24"/>
  <c r="BY111" i="24" s="1"/>
  <c r="O272" i="24"/>
  <c r="O229" i="24"/>
  <c r="O293" i="24"/>
  <c r="J231" i="24"/>
  <c r="AI231" i="24" s="1"/>
  <c r="J306" i="24"/>
  <c r="AE306" i="24" s="1"/>
  <c r="J174" i="24"/>
  <c r="AI174" i="24" s="1"/>
  <c r="J249" i="24"/>
  <c r="X249" i="24" s="1"/>
  <c r="AA249" i="24" s="1"/>
  <c r="AB249" i="24" s="1"/>
  <c r="AC249" i="24" s="1"/>
  <c r="J153" i="24"/>
  <c r="AE153" i="24" s="1"/>
  <c r="J113" i="24"/>
  <c r="AI113" i="24" s="1"/>
  <c r="BY86" i="24"/>
  <c r="BY46" i="24"/>
  <c r="BY73" i="24"/>
  <c r="BY41" i="24"/>
  <c r="BY42" i="24"/>
  <c r="BY56" i="24"/>
  <c r="BY21" i="24"/>
  <c r="BY50" i="24"/>
  <c r="BY53" i="24"/>
  <c r="BY89" i="24"/>
  <c r="BY64" i="24"/>
  <c r="BY29" i="24"/>
  <c r="BY60" i="24"/>
  <c r="BY70" i="24"/>
  <c r="BY54" i="24"/>
  <c r="BY69" i="24"/>
  <c r="BY101" i="24"/>
  <c r="BY68" i="24"/>
  <c r="BY33" i="24"/>
  <c r="BY25" i="24"/>
  <c r="BY72" i="24"/>
  <c r="BY18" i="24"/>
  <c r="BY82" i="24"/>
  <c r="BY32" i="24"/>
  <c r="BY96" i="24"/>
  <c r="BY97" i="24"/>
  <c r="BY78" i="24"/>
  <c r="BY85" i="24"/>
  <c r="BY92" i="24"/>
  <c r="BY36" i="24"/>
  <c r="BY100" i="24"/>
  <c r="BY105" i="24"/>
  <c r="BY40" i="24"/>
  <c r="BY28" i="24"/>
  <c r="BY104" i="24"/>
  <c r="BY63" i="24"/>
  <c r="BY19" i="24"/>
  <c r="BY79" i="24"/>
  <c r="J196" i="24"/>
  <c r="AI196" i="24" s="1"/>
  <c r="O196" i="24"/>
  <c r="BY196" i="24" s="1"/>
  <c r="J145" i="24"/>
  <c r="X145" i="24" s="1"/>
  <c r="AA145" i="24" s="1"/>
  <c r="AB145" i="24" s="1"/>
  <c r="AC145" i="24" s="1"/>
  <c r="O145" i="24"/>
  <c r="BY145" i="24" s="1"/>
  <c r="J150" i="24"/>
  <c r="X150" i="24" s="1"/>
  <c r="AA150" i="24" s="1"/>
  <c r="AB150" i="24" s="1"/>
  <c r="AC150" i="24" s="1"/>
  <c r="O150" i="24"/>
  <c r="BY150" i="24" s="1"/>
  <c r="J136" i="24"/>
  <c r="AE136" i="24" s="1"/>
  <c r="O136" i="24"/>
  <c r="BY136" i="24" s="1"/>
  <c r="J181" i="24"/>
  <c r="AE181" i="24" s="1"/>
  <c r="O181" i="24"/>
  <c r="BY181" i="24" s="1"/>
  <c r="J149" i="24"/>
  <c r="AI149" i="24" s="1"/>
  <c r="O149" i="24"/>
  <c r="BY149" i="24" s="1"/>
  <c r="J186" i="24"/>
  <c r="AI186" i="24" s="1"/>
  <c r="O186" i="24"/>
  <c r="BY186" i="24" s="1"/>
  <c r="J122" i="24"/>
  <c r="W122" i="24" s="1"/>
  <c r="Y122" i="24" s="1"/>
  <c r="O122" i="24"/>
  <c r="BY122" i="24" s="1"/>
  <c r="J128" i="24"/>
  <c r="X128" i="24" s="1"/>
  <c r="AA128" i="24" s="1"/>
  <c r="AB128" i="24" s="1"/>
  <c r="AC128" i="24" s="1"/>
  <c r="O128" i="24"/>
  <c r="BY128" i="24" s="1"/>
  <c r="J163" i="24"/>
  <c r="AI163" i="24" s="1"/>
  <c r="O163" i="24"/>
  <c r="BY163" i="24" s="1"/>
  <c r="J208" i="24"/>
  <c r="AE208" i="24" s="1"/>
  <c r="O208" i="24"/>
  <c r="BY208" i="24" s="1"/>
  <c r="J141" i="24"/>
  <c r="X141" i="24" s="1"/>
  <c r="AA141" i="24" s="1"/>
  <c r="AB141" i="24" s="1"/>
  <c r="AC141" i="24" s="1"/>
  <c r="O141" i="24"/>
  <c r="BY141" i="24" s="1"/>
  <c r="J179" i="24"/>
  <c r="X179" i="24" s="1"/>
  <c r="AA179" i="24" s="1"/>
  <c r="AB179" i="24" s="1"/>
  <c r="AC179" i="24" s="1"/>
  <c r="O179" i="24"/>
  <c r="BY179" i="24" s="1"/>
  <c r="BY23" i="24"/>
  <c r="BY91" i="24"/>
  <c r="J201" i="24"/>
  <c r="W201" i="24" s="1"/>
  <c r="O201" i="24"/>
  <c r="BY201" i="24" s="1"/>
  <c r="J155" i="24"/>
  <c r="AE155" i="24" s="1"/>
  <c r="O155" i="24"/>
  <c r="BY155" i="24" s="1"/>
  <c r="J131" i="24"/>
  <c r="AI131" i="24" s="1"/>
  <c r="O131" i="24"/>
  <c r="BY131" i="24" s="1"/>
  <c r="J184" i="24"/>
  <c r="X184" i="24" s="1"/>
  <c r="AA184" i="24" s="1"/>
  <c r="AB184" i="24" s="1"/>
  <c r="AC184" i="24" s="1"/>
  <c r="O184" i="24"/>
  <c r="BY184" i="24" s="1"/>
  <c r="J112" i="24"/>
  <c r="W112" i="24" s="1"/>
  <c r="O112" i="24"/>
  <c r="BY112" i="24" s="1"/>
  <c r="J154" i="24"/>
  <c r="X154" i="24" s="1"/>
  <c r="AA154" i="24" s="1"/>
  <c r="AB154" i="24" s="1"/>
  <c r="AC154" i="24" s="1"/>
  <c r="O154" i="24"/>
  <c r="BY154" i="24" s="1"/>
  <c r="J172" i="24"/>
  <c r="W172" i="24" s="1"/>
  <c r="O172" i="24"/>
  <c r="BY172" i="24" s="1"/>
  <c r="J115" i="24"/>
  <c r="AE115" i="24" s="1"/>
  <c r="O115" i="24"/>
  <c r="BY115" i="24" s="1"/>
  <c r="J183" i="24"/>
  <c r="X183" i="24" s="1"/>
  <c r="AA183" i="24" s="1"/>
  <c r="AB183" i="24" s="1"/>
  <c r="AC183" i="24" s="1"/>
  <c r="O183" i="24"/>
  <c r="BY183" i="24" s="1"/>
  <c r="J187" i="24"/>
  <c r="AE187" i="24" s="1"/>
  <c r="O187" i="24"/>
  <c r="BY187" i="24" s="1"/>
  <c r="J119" i="24"/>
  <c r="AI119" i="24" s="1"/>
  <c r="O119" i="24"/>
  <c r="BY119" i="24" s="1"/>
  <c r="J116" i="24"/>
  <c r="AE116" i="24" s="1"/>
  <c r="O116" i="24"/>
  <c r="BY116" i="24" s="1"/>
  <c r="BY87" i="24"/>
  <c r="BY31" i="24"/>
  <c r="BY27" i="24"/>
  <c r="BY83" i="24"/>
  <c r="BY14" i="24"/>
  <c r="BY10" i="24"/>
  <c r="BY74" i="24"/>
  <c r="J148" i="24"/>
  <c r="W148" i="24" s="1"/>
  <c r="Y148" i="24" s="1"/>
  <c r="O148" i="24"/>
  <c r="BY148" i="24" s="1"/>
  <c r="J177" i="24"/>
  <c r="AI177" i="24" s="1"/>
  <c r="O177" i="24"/>
  <c r="BY177" i="24" s="1"/>
  <c r="J210" i="24"/>
  <c r="W210" i="24" s="1"/>
  <c r="Y210" i="24" s="1"/>
  <c r="O210" i="24"/>
  <c r="BY210" i="24" s="1"/>
  <c r="J123" i="24"/>
  <c r="W123" i="24" s="1"/>
  <c r="O123" i="24"/>
  <c r="BY123" i="24" s="1"/>
  <c r="J134" i="24"/>
  <c r="AI134" i="24" s="1"/>
  <c r="O134" i="24"/>
  <c r="BY134" i="24" s="1"/>
  <c r="J182" i="24"/>
  <c r="X182" i="24" s="1"/>
  <c r="AA182" i="24" s="1"/>
  <c r="AB182" i="24" s="1"/>
  <c r="AC182" i="24" s="1"/>
  <c r="O182" i="24"/>
  <c r="BY182" i="24" s="1"/>
  <c r="J199" i="24"/>
  <c r="AI199" i="24" s="1"/>
  <c r="O199" i="24"/>
  <c r="BY199" i="24" s="1"/>
  <c r="J152" i="24"/>
  <c r="AI152" i="24" s="1"/>
  <c r="O152" i="24"/>
  <c r="BY152" i="24" s="1"/>
  <c r="J157" i="24"/>
  <c r="AE157" i="24" s="1"/>
  <c r="O157" i="24"/>
  <c r="BY157" i="24" s="1"/>
  <c r="J205" i="24"/>
  <c r="X205" i="24" s="1"/>
  <c r="AA205" i="24" s="1"/>
  <c r="AB205" i="24" s="1"/>
  <c r="AC205" i="24" s="1"/>
  <c r="O205" i="24"/>
  <c r="BY205" i="24" s="1"/>
  <c r="J159" i="24"/>
  <c r="AI159" i="24" s="1"/>
  <c r="O159" i="24"/>
  <c r="BY159" i="24" s="1"/>
  <c r="J167" i="24"/>
  <c r="AI167" i="24" s="1"/>
  <c r="O167" i="24"/>
  <c r="BY167" i="24" s="1"/>
  <c r="J170" i="24"/>
  <c r="X170" i="24" s="1"/>
  <c r="AA170" i="24" s="1"/>
  <c r="AB170" i="24" s="1"/>
  <c r="AC170" i="24" s="1"/>
  <c r="O170" i="24"/>
  <c r="BY170" i="24" s="1"/>
  <c r="J207" i="24"/>
  <c r="AE207" i="24" s="1"/>
  <c r="O207" i="24"/>
  <c r="BY207" i="24" s="1"/>
  <c r="J188" i="24"/>
  <c r="AI188" i="24" s="1"/>
  <c r="O188" i="24"/>
  <c r="BY188" i="24" s="1"/>
  <c r="J161" i="24"/>
  <c r="AI161" i="24" s="1"/>
  <c r="O161" i="24"/>
  <c r="BY161" i="24" s="1"/>
  <c r="J194" i="24"/>
  <c r="AI194" i="24" s="1"/>
  <c r="O194" i="24"/>
  <c r="BY194" i="24" s="1"/>
  <c r="J137" i="24"/>
  <c r="X137" i="24" s="1"/>
  <c r="AA137" i="24" s="1"/>
  <c r="AB137" i="24" s="1"/>
  <c r="AC137" i="24" s="1"/>
  <c r="O137" i="24"/>
  <c r="BY137" i="24" s="1"/>
  <c r="J142" i="24"/>
  <c r="X142" i="24" s="1"/>
  <c r="AA142" i="24" s="1"/>
  <c r="AB142" i="24" s="1"/>
  <c r="AC142" i="24" s="1"/>
  <c r="O142" i="24"/>
  <c r="BY142" i="24" s="1"/>
  <c r="J125" i="24"/>
  <c r="AI125" i="24" s="1"/>
  <c r="O125" i="24"/>
  <c r="BY125" i="24" s="1"/>
  <c r="J192" i="24"/>
  <c r="AI192" i="24" s="1"/>
  <c r="O192" i="24"/>
  <c r="BY192" i="24" s="1"/>
  <c r="J169" i="24"/>
  <c r="AE169" i="24" s="1"/>
  <c r="O169" i="24"/>
  <c r="BY169" i="24" s="1"/>
  <c r="J206" i="24"/>
  <c r="AI206" i="24" s="1"/>
  <c r="O206" i="24"/>
  <c r="BY206" i="24" s="1"/>
  <c r="J165" i="24"/>
  <c r="X165" i="24" s="1"/>
  <c r="AA165" i="24" s="1"/>
  <c r="AB165" i="24" s="1"/>
  <c r="AC165" i="24" s="1"/>
  <c r="O165" i="24"/>
  <c r="BY165" i="24" s="1"/>
  <c r="J162" i="24"/>
  <c r="AI162" i="24" s="1"/>
  <c r="O162" i="24"/>
  <c r="BY162" i="24" s="1"/>
  <c r="J203" i="24"/>
  <c r="AE203" i="24" s="1"/>
  <c r="O203" i="24"/>
  <c r="BY203" i="24" s="1"/>
  <c r="BY55" i="24"/>
  <c r="BY95" i="24"/>
  <c r="BY59" i="24"/>
  <c r="BY51" i="24"/>
  <c r="J46" i="24"/>
  <c r="AE46" i="24" s="1"/>
  <c r="J64" i="24"/>
  <c r="AE64" i="24" s="1"/>
  <c r="AF64" i="24" s="1"/>
  <c r="J95" i="24"/>
  <c r="AI95" i="24" s="1"/>
  <c r="J59" i="24"/>
  <c r="AE59" i="24" s="1"/>
  <c r="J54" i="24"/>
  <c r="AE54" i="24" s="1"/>
  <c r="J73" i="24"/>
  <c r="X73" i="24" s="1"/>
  <c r="AA73" i="24" s="1"/>
  <c r="AB73" i="24" s="1"/>
  <c r="AC73" i="24" s="1"/>
  <c r="J56" i="24"/>
  <c r="X56" i="24" s="1"/>
  <c r="AA56" i="24" s="1"/>
  <c r="AB56" i="24" s="1"/>
  <c r="AC56" i="24" s="1"/>
  <c r="J14" i="24"/>
  <c r="X14" i="24" s="1"/>
  <c r="AA14" i="24" s="1"/>
  <c r="AB14" i="24" s="1"/>
  <c r="AC14" i="24" s="1"/>
  <c r="J78" i="24"/>
  <c r="X78" i="24" s="1"/>
  <c r="AA78" i="24" s="1"/>
  <c r="AB78" i="24" s="1"/>
  <c r="AC78" i="24" s="1"/>
  <c r="J23" i="24"/>
  <c r="AI23" i="24" s="1"/>
  <c r="J87" i="24"/>
  <c r="AE87" i="24" s="1"/>
  <c r="J32" i="24"/>
  <c r="AI32" i="24" s="1"/>
  <c r="J96" i="24"/>
  <c r="W96" i="24" s="1"/>
  <c r="J97" i="24"/>
  <c r="W97" i="24" s="1"/>
  <c r="Y97" i="24" s="1"/>
  <c r="J31" i="24"/>
  <c r="AE31" i="24" s="1"/>
  <c r="J40" i="24"/>
  <c r="AE40" i="24" s="1"/>
  <c r="J18" i="24"/>
  <c r="AE18" i="24" s="1"/>
  <c r="J82" i="24"/>
  <c r="AE82" i="24" s="1"/>
  <c r="J27" i="24"/>
  <c r="AI27" i="24" s="1"/>
  <c r="J91" i="24"/>
  <c r="X91" i="24" s="1"/>
  <c r="AA91" i="24" s="1"/>
  <c r="AB91" i="24" s="1"/>
  <c r="AC91" i="24" s="1"/>
  <c r="J36" i="24"/>
  <c r="AI36" i="24" s="1"/>
  <c r="J100" i="24"/>
  <c r="AI100" i="24" s="1"/>
  <c r="J105" i="24"/>
  <c r="AI105" i="24" s="1"/>
  <c r="J63" i="24"/>
  <c r="AE63" i="24" s="1"/>
  <c r="J10" i="24"/>
  <c r="AI10" i="24" s="1"/>
  <c r="J74" i="24"/>
  <c r="X74" i="24" s="1"/>
  <c r="AA74" i="24" s="1"/>
  <c r="AB74" i="24" s="1"/>
  <c r="AC74" i="24" s="1"/>
  <c r="J19" i="24"/>
  <c r="AE19" i="24" s="1"/>
  <c r="J83" i="24"/>
  <c r="X83" i="24" s="1"/>
  <c r="AA83" i="24" s="1"/>
  <c r="AB83" i="24" s="1"/>
  <c r="AC83" i="24" s="1"/>
  <c r="J28" i="24"/>
  <c r="AE28" i="24" s="1"/>
  <c r="J92" i="24"/>
  <c r="AE92" i="24" s="1"/>
  <c r="J85" i="24"/>
  <c r="X85" i="24" s="1"/>
  <c r="AA85" i="24" s="1"/>
  <c r="AB85" i="24" s="1"/>
  <c r="AC85" i="24" s="1"/>
  <c r="J79" i="24"/>
  <c r="AE79" i="24" s="1"/>
  <c r="J53" i="24"/>
  <c r="X53" i="24" s="1"/>
  <c r="AA53" i="24" s="1"/>
  <c r="AB53" i="24" s="1"/>
  <c r="AC53" i="24" s="1"/>
  <c r="J89" i="24"/>
  <c r="AE89" i="24" s="1"/>
  <c r="J70" i="24"/>
  <c r="AI70" i="24" s="1"/>
  <c r="J21" i="24"/>
  <c r="W21" i="24" s="1"/>
  <c r="J69" i="24"/>
  <c r="AI69" i="24" s="1"/>
  <c r="J101" i="24"/>
  <c r="X101" i="24" s="1"/>
  <c r="AA101" i="24" s="1"/>
  <c r="AB101" i="24" s="1"/>
  <c r="AC101" i="24" s="1"/>
  <c r="J33" i="24"/>
  <c r="W33" i="24" s="1"/>
  <c r="J42" i="24"/>
  <c r="AI42" i="24" s="1"/>
  <c r="J41" i="24"/>
  <c r="AE41" i="24" s="1"/>
  <c r="J60" i="24"/>
  <c r="AI60" i="24" s="1"/>
  <c r="J86" i="24"/>
  <c r="X86" i="24" s="1"/>
  <c r="AA86" i="24" s="1"/>
  <c r="AB86" i="24" s="1"/>
  <c r="AC86" i="24" s="1"/>
  <c r="J55" i="24"/>
  <c r="W55" i="24" s="1"/>
  <c r="Y55" i="24" s="1"/>
  <c r="J29" i="24"/>
  <c r="AE29" i="24" s="1"/>
  <c r="J50" i="24"/>
  <c r="AI50" i="24" s="1"/>
  <c r="J68" i="24"/>
  <c r="AE68" i="24" s="1"/>
  <c r="J72" i="24"/>
  <c r="AE72" i="24" s="1"/>
  <c r="J51" i="24"/>
  <c r="AE51" i="24" s="1"/>
  <c r="J25" i="24"/>
  <c r="AI25" i="24" s="1"/>
  <c r="J104" i="24"/>
  <c r="AI104" i="24" s="1"/>
  <c r="P110" i="24"/>
  <c r="Q110" i="24"/>
  <c r="Q27" i="24"/>
  <c r="R27" i="24" s="1"/>
  <c r="Q70" i="24"/>
  <c r="R70" i="24" s="1"/>
  <c r="Q79" i="24"/>
  <c r="R79" i="24" s="1"/>
  <c r="Q53" i="24"/>
  <c r="R53" i="24" s="1"/>
  <c r="Q23" i="24"/>
  <c r="R23" i="24" s="1"/>
  <c r="Q32" i="24"/>
  <c r="R32" i="24" s="1"/>
  <c r="Q97" i="24"/>
  <c r="Q59" i="24"/>
  <c r="Q86" i="24"/>
  <c r="Q95" i="24"/>
  <c r="R95" i="24" s="1"/>
  <c r="Q104" i="24"/>
  <c r="R104" i="24" s="1"/>
  <c r="Q33" i="24"/>
  <c r="Q41" i="24"/>
  <c r="R41" i="24" s="1"/>
  <c r="Q51" i="24"/>
  <c r="Q73" i="24"/>
  <c r="R73" i="24" s="1"/>
  <c r="Q25" i="24"/>
  <c r="R25" i="24" s="1"/>
  <c r="Q78" i="24"/>
  <c r="R78" i="24" s="1"/>
  <c r="Q101" i="24"/>
  <c r="R101" i="24" s="1"/>
  <c r="Q21" i="24"/>
  <c r="R21" i="24" s="1"/>
  <c r="Q100" i="24"/>
  <c r="R100" i="24" s="1"/>
  <c r="Q55" i="24"/>
  <c r="Q64" i="24"/>
  <c r="R64" i="24" s="1"/>
  <c r="Q68" i="24"/>
  <c r="R68" i="24" s="1"/>
  <c r="Q54" i="24"/>
  <c r="Q63" i="24"/>
  <c r="R63" i="24" s="1"/>
  <c r="Q69" i="24"/>
  <c r="R69" i="24" s="1"/>
  <c r="Q10" i="24"/>
  <c r="R10" i="24" s="1"/>
  <c r="Q19" i="24"/>
  <c r="Q28" i="24"/>
  <c r="R28" i="24" s="1"/>
  <c r="Q85" i="24"/>
  <c r="R85" i="24" s="1"/>
  <c r="Q105" i="24"/>
  <c r="P41" i="24"/>
  <c r="P27" i="24"/>
  <c r="T30" i="24"/>
  <c r="O30" i="24" s="1"/>
  <c r="BY30" i="24" s="1"/>
  <c r="P78" i="24"/>
  <c r="T39" i="24"/>
  <c r="O39" i="24" s="1"/>
  <c r="BY39" i="24" s="1"/>
  <c r="T48" i="24"/>
  <c r="O48" i="24" s="1"/>
  <c r="BY48" i="24" s="1"/>
  <c r="T38" i="24"/>
  <c r="O38" i="24" s="1"/>
  <c r="BY38" i="24" s="1"/>
  <c r="T88" i="24"/>
  <c r="O88" i="24" s="1"/>
  <c r="BY88" i="24" s="1"/>
  <c r="T98" i="24"/>
  <c r="O98" i="24" s="1"/>
  <c r="BY98" i="24" s="1"/>
  <c r="T37" i="24"/>
  <c r="O37" i="24" s="1"/>
  <c r="BY37" i="24" s="1"/>
  <c r="T17" i="24"/>
  <c r="O17" i="24" s="1"/>
  <c r="BY17" i="24" s="1"/>
  <c r="T61" i="24"/>
  <c r="O61" i="24" s="1"/>
  <c r="BY61" i="24" s="1"/>
  <c r="T90" i="24"/>
  <c r="O90" i="24" s="1"/>
  <c r="BY90" i="24" s="1"/>
  <c r="T99" i="24"/>
  <c r="O99" i="24" s="1"/>
  <c r="BY99" i="24" s="1"/>
  <c r="T9" i="24"/>
  <c r="O9" i="24" s="1"/>
  <c r="BY9" i="24" s="1"/>
  <c r="T8" i="24"/>
  <c r="O8" i="24" s="1"/>
  <c r="BY8" i="24" s="1"/>
  <c r="T7" i="24"/>
  <c r="O7" i="24" s="1"/>
  <c r="BY7" i="24" s="1"/>
  <c r="T16" i="24"/>
  <c r="O16" i="24" s="1"/>
  <c r="BY16" i="24" s="1"/>
  <c r="T57" i="24"/>
  <c r="O57" i="24" s="1"/>
  <c r="BY57" i="24" s="1"/>
  <c r="T24" i="24"/>
  <c r="O24" i="24" s="1"/>
  <c r="BY24" i="24" s="1"/>
  <c r="T66" i="24"/>
  <c r="O66" i="24" s="1"/>
  <c r="BY66" i="24" s="1"/>
  <c r="T75" i="24"/>
  <c r="O75" i="24" s="1"/>
  <c r="BY75" i="24" s="1"/>
  <c r="T84" i="24"/>
  <c r="O84" i="24" s="1"/>
  <c r="BY84" i="24" s="1"/>
  <c r="T81" i="24"/>
  <c r="O81" i="24" s="1"/>
  <c r="BY81" i="24" s="1"/>
  <c r="T58" i="24"/>
  <c r="O58" i="24" s="1"/>
  <c r="BY58" i="24" s="1"/>
  <c r="T67" i="24"/>
  <c r="O67" i="24" s="1"/>
  <c r="BY67" i="24" s="1"/>
  <c r="T76" i="24"/>
  <c r="O76" i="24" s="1"/>
  <c r="BY76" i="24" s="1"/>
  <c r="T15" i="24"/>
  <c r="O15" i="24" s="1"/>
  <c r="BY15" i="24" s="1"/>
  <c r="T94" i="24"/>
  <c r="O94" i="24" s="1"/>
  <c r="BY94" i="24" s="1"/>
  <c r="T103" i="24"/>
  <c r="O103" i="24" s="1"/>
  <c r="BY103" i="24" s="1"/>
  <c r="T13" i="24"/>
  <c r="O13" i="24" s="1"/>
  <c r="BY13" i="24" s="1"/>
  <c r="T47" i="24"/>
  <c r="O47" i="24" s="1"/>
  <c r="BY47" i="24" s="1"/>
  <c r="T34" i="24"/>
  <c r="O34" i="24" s="1"/>
  <c r="BY34" i="24" s="1"/>
  <c r="T43" i="24"/>
  <c r="O43" i="24" s="1"/>
  <c r="BY43" i="24" s="1"/>
  <c r="T52" i="24"/>
  <c r="O52" i="24" s="1"/>
  <c r="BY52" i="24" s="1"/>
  <c r="T6" i="24"/>
  <c r="O6" i="24" s="1"/>
  <c r="BY6" i="24" s="1"/>
  <c r="T26" i="24"/>
  <c r="O26" i="24" s="1"/>
  <c r="BY26" i="24" s="1"/>
  <c r="T35" i="24"/>
  <c r="O35" i="24" s="1"/>
  <c r="BY35" i="24" s="1"/>
  <c r="T44" i="24"/>
  <c r="O44" i="24" s="1"/>
  <c r="BY44" i="24" s="1"/>
  <c r="T22" i="24"/>
  <c r="O22" i="24" s="1"/>
  <c r="BY22" i="24" s="1"/>
  <c r="P79" i="24"/>
  <c r="P28" i="24"/>
  <c r="T62" i="24"/>
  <c r="O62" i="24" s="1"/>
  <c r="BY62" i="24" s="1"/>
  <c r="AP53" i="24"/>
  <c r="T71" i="24"/>
  <c r="O71" i="24" s="1"/>
  <c r="BY71" i="24" s="1"/>
  <c r="T80" i="24"/>
  <c r="O80" i="24" s="1"/>
  <c r="BY80" i="24" s="1"/>
  <c r="T102" i="24"/>
  <c r="O102" i="24" s="1"/>
  <c r="BY102" i="24" s="1"/>
  <c r="T77" i="24"/>
  <c r="O77" i="24" s="1"/>
  <c r="BY77" i="24" s="1"/>
  <c r="T11" i="24"/>
  <c r="O11" i="24" s="1"/>
  <c r="BY11" i="24" s="1"/>
  <c r="T20" i="24"/>
  <c r="O20" i="24" s="1"/>
  <c r="BY20" i="24" s="1"/>
  <c r="T65" i="24"/>
  <c r="O65" i="24" s="1"/>
  <c r="BY65" i="24" s="1"/>
  <c r="T45" i="24"/>
  <c r="O45" i="24" s="1"/>
  <c r="BY45" i="24" s="1"/>
  <c r="T93" i="24"/>
  <c r="O93" i="24" s="1"/>
  <c r="BY93" i="24" s="1"/>
  <c r="T12" i="24"/>
  <c r="O12" i="24" s="1"/>
  <c r="BY12" i="24" s="1"/>
  <c r="T49" i="24"/>
  <c r="O49" i="24" s="1"/>
  <c r="BY49" i="24" s="1"/>
  <c r="P53" i="24"/>
  <c r="P64" i="24"/>
  <c r="P68" i="24"/>
  <c r="P63" i="24"/>
  <c r="P10" i="24"/>
  <c r="AI5" i="24"/>
  <c r="R5" i="24"/>
  <c r="X110" i="24"/>
  <c r="AA110" i="24" s="1"/>
  <c r="AB110" i="24" s="1"/>
  <c r="AC110" i="24" s="1"/>
  <c r="AP110" i="24"/>
  <c r="AE5" i="24"/>
  <c r="AF5" i="24" s="1"/>
  <c r="R110" i="25"/>
  <c r="AO216" i="25"/>
  <c r="AP216" i="24"/>
  <c r="Q216" i="25"/>
  <c r="CD216" i="25" s="1"/>
  <c r="R216" i="25"/>
  <c r="K77" i="23"/>
  <c r="M77" i="23" s="1"/>
  <c r="CD131" i="25"/>
  <c r="CD113" i="25"/>
  <c r="X5" i="24"/>
  <c r="AA5" i="24" s="1"/>
  <c r="AB5" i="24" s="1"/>
  <c r="AC5" i="24" s="1"/>
  <c r="CD137" i="25"/>
  <c r="CD120" i="25"/>
  <c r="CD112" i="25"/>
  <c r="CD117" i="25"/>
  <c r="CD122" i="25"/>
  <c r="CD124" i="25"/>
  <c r="AO110" i="25"/>
  <c r="CD118" i="25"/>
  <c r="CD114" i="25"/>
  <c r="S110" i="25"/>
  <c r="K110" i="25" s="1"/>
  <c r="AD110" i="25" s="1"/>
  <c r="AE110" i="25" s="1"/>
  <c r="P216" i="24"/>
  <c r="CD216" i="24" s="1"/>
  <c r="B201" i="2"/>
  <c r="BY103" i="25"/>
  <c r="BY91" i="25"/>
  <c r="BY102" i="25"/>
  <c r="BY49" i="25"/>
  <c r="BY90" i="25"/>
  <c r="BY105" i="25"/>
  <c r="BY101" i="25"/>
  <c r="BY97" i="25"/>
  <c r="BY93" i="25"/>
  <c r="BY5" i="25"/>
  <c r="R5" i="25"/>
  <c r="BY104" i="25"/>
  <c r="BY96" i="25"/>
  <c r="BY63" i="25"/>
  <c r="BY47" i="25"/>
  <c r="BY27" i="25"/>
  <c r="BY77" i="25"/>
  <c r="BY57" i="25"/>
  <c r="BY25" i="25"/>
  <c r="BY6" i="25"/>
  <c r="BY69" i="25"/>
  <c r="BY21" i="25"/>
  <c r="BY35" i="25"/>
  <c r="BY22" i="25"/>
  <c r="BY60" i="25"/>
  <c r="BY24" i="25"/>
  <c r="BY38" i="25"/>
  <c r="BY18" i="25"/>
  <c r="BY71" i="25"/>
  <c r="BY39" i="25"/>
  <c r="BY65" i="25"/>
  <c r="BY33" i="25"/>
  <c r="BY43" i="25"/>
  <c r="BY73" i="25"/>
  <c r="BY17" i="25"/>
  <c r="BY74" i="25"/>
  <c r="BY34" i="25"/>
  <c r="S5" i="25"/>
  <c r="K5" i="25" s="1"/>
  <c r="AD5" i="25" s="1"/>
  <c r="AE5" i="25" s="1"/>
  <c r="BY95" i="25"/>
  <c r="BY94" i="25"/>
  <c r="BY59" i="25"/>
  <c r="BY9" i="25"/>
  <c r="BY54" i="25"/>
  <c r="BY100" i="25"/>
  <c r="BY92" i="25"/>
  <c r="BY83" i="25"/>
  <c r="BY67" i="25"/>
  <c r="BY51" i="25"/>
  <c r="BY31" i="25"/>
  <c r="BY15" i="25"/>
  <c r="BY85" i="25"/>
  <c r="BY61" i="25"/>
  <c r="BY29" i="25"/>
  <c r="BY82" i="25"/>
  <c r="BY81" i="25"/>
  <c r="BY41" i="25"/>
  <c r="BY36" i="25"/>
  <c r="BY26" i="25"/>
  <c r="BY79" i="25"/>
  <c r="BY10" i="25"/>
  <c r="BY78" i="25"/>
  <c r="BY62" i="25"/>
  <c r="BY80" i="25"/>
  <c r="BY64" i="25"/>
  <c r="BY48" i="25"/>
  <c r="BY28" i="25"/>
  <c r="BY12" i="25"/>
  <c r="BY42" i="25"/>
  <c r="BY87" i="25"/>
  <c r="BY55" i="25"/>
  <c r="BY19" i="25"/>
  <c r="BY13" i="25"/>
  <c r="BY89" i="25"/>
  <c r="BY45" i="25"/>
  <c r="BY37" i="25"/>
  <c r="BY75" i="25"/>
  <c r="BY23" i="25"/>
  <c r="BY76" i="25"/>
  <c r="BY44" i="25"/>
  <c r="BY58" i="25"/>
  <c r="Q5" i="25"/>
  <c r="BY99" i="25"/>
  <c r="BY53" i="25"/>
  <c r="BY11" i="25"/>
  <c r="BY7" i="25"/>
  <c r="BY66" i="25"/>
  <c r="BY84" i="25"/>
  <c r="BY68" i="25"/>
  <c r="BY52" i="25"/>
  <c r="BY32" i="25"/>
  <c r="BY16" i="25"/>
  <c r="BY46" i="25"/>
  <c r="BY8" i="25"/>
  <c r="BY86" i="25"/>
  <c r="BY70" i="25"/>
  <c r="BY88" i="25"/>
  <c r="BY72" i="25"/>
  <c r="BY56" i="25"/>
  <c r="BY40" i="25"/>
  <c r="BY20" i="25"/>
  <c r="BY50" i="25"/>
  <c r="BY30" i="25"/>
  <c r="BY14" i="25"/>
  <c r="BY98" i="25"/>
  <c r="AO5" i="25"/>
  <c r="BK6" i="19"/>
  <c r="BB6" i="19"/>
  <c r="BH7" i="19"/>
  <c r="BF6" i="19"/>
  <c r="BK7" i="19"/>
  <c r="BS7" i="19"/>
  <c r="BF9" i="19"/>
  <c r="BH9" i="19"/>
  <c r="BD9" i="19"/>
  <c r="BA6" i="19"/>
  <c r="BI6" i="19"/>
  <c r="BD6" i="19"/>
  <c r="AZ7" i="19"/>
  <c r="BL7" i="19" s="1"/>
  <c r="BM7" i="19" s="1"/>
  <c r="BZ7" i="19" s="1"/>
  <c r="BG7" i="19"/>
  <c r="BJ7" i="19"/>
  <c r="BS6" i="19"/>
  <c r="AZ6" i="19"/>
  <c r="BL6" i="19" s="1"/>
  <c r="BM6" i="19" s="1"/>
  <c r="BZ6" i="19" s="1"/>
  <c r="BG6" i="19"/>
  <c r="BB7" i="19"/>
  <c r="BF7" i="19"/>
  <c r="BA7" i="19"/>
  <c r="BC6" i="19"/>
  <c r="BH6" i="19"/>
  <c r="BE6" i="19"/>
  <c r="BE7" i="19"/>
  <c r="BI7" i="19"/>
  <c r="BB9" i="19"/>
  <c r="BI9" i="19"/>
  <c r="BB8" i="19"/>
  <c r="BS8" i="19"/>
  <c r="BJ9" i="19"/>
  <c r="BS9" i="19"/>
  <c r="BK8" i="19"/>
  <c r="AZ9" i="19"/>
  <c r="BL9" i="19" s="1"/>
  <c r="BM9" i="19" s="1"/>
  <c r="BZ9" i="19" s="1"/>
  <c r="BD8" i="19"/>
  <c r="BE8" i="19"/>
  <c r="BG8" i="19"/>
  <c r="BE9" i="19"/>
  <c r="BA9" i="19"/>
  <c r="BG9" i="19"/>
  <c r="BH8" i="19"/>
  <c r="BI8" i="19"/>
  <c r="BF8" i="19"/>
  <c r="AZ8" i="19"/>
  <c r="BL8" i="19" s="1"/>
  <c r="BM8" i="19" s="1"/>
  <c r="BZ8" i="19" s="1"/>
  <c r="BK9" i="19"/>
  <c r="BC9" i="19"/>
  <c r="BA8" i="19"/>
  <c r="BJ8" i="19"/>
  <c r="AD216" i="25"/>
  <c r="AE216" i="25" s="1"/>
  <c r="W216" i="25"/>
  <c r="Z216" i="25" s="1"/>
  <c r="AA216" i="25" s="1"/>
  <c r="AB216" i="25" s="1"/>
  <c r="V216" i="25"/>
  <c r="X216" i="25" s="1"/>
  <c r="AD289" i="25"/>
  <c r="AE289" i="25" s="1"/>
  <c r="W289" i="25"/>
  <c r="Z289" i="25" s="1"/>
  <c r="AA289" i="25" s="1"/>
  <c r="AB289" i="25" s="1"/>
  <c r="AD253" i="25"/>
  <c r="AE253" i="25" s="1"/>
  <c r="W253" i="25"/>
  <c r="Z253" i="25" s="1"/>
  <c r="AA253" i="25" s="1"/>
  <c r="AB253" i="25" s="1"/>
  <c r="AO266" i="25"/>
  <c r="V205" i="25"/>
  <c r="U205" i="25"/>
  <c r="AD247" i="25"/>
  <c r="AE247" i="25" s="1"/>
  <c r="W247" i="25"/>
  <c r="Z247" i="25" s="1"/>
  <c r="AA247" i="25" s="1"/>
  <c r="AB247" i="25" s="1"/>
  <c r="AO182" i="25"/>
  <c r="AO185" i="25"/>
  <c r="AO153" i="25"/>
  <c r="AO273" i="25"/>
  <c r="U219" i="25"/>
  <c r="V219" i="25"/>
  <c r="AO83" i="25"/>
  <c r="AO85" i="25"/>
  <c r="AO29" i="25"/>
  <c r="W66" i="25"/>
  <c r="Z66" i="25" s="1"/>
  <c r="AA66" i="25" s="1"/>
  <c r="AB66" i="25" s="1"/>
  <c r="AD66" i="25"/>
  <c r="AE66" i="25" s="1"/>
  <c r="W68" i="25"/>
  <c r="Z68" i="25" s="1"/>
  <c r="AA68" i="25" s="1"/>
  <c r="AB68" i="25" s="1"/>
  <c r="AD68" i="25"/>
  <c r="AE68" i="25" s="1"/>
  <c r="AD16" i="25"/>
  <c r="AE16" i="25" s="1"/>
  <c r="W16" i="25"/>
  <c r="Z16" i="25" s="1"/>
  <c r="AA16" i="25" s="1"/>
  <c r="AB16" i="25" s="1"/>
  <c r="W36" i="25"/>
  <c r="Z36" i="25" s="1"/>
  <c r="AA36" i="25" s="1"/>
  <c r="AB36" i="25" s="1"/>
  <c r="AD36" i="25"/>
  <c r="AE36" i="25" s="1"/>
  <c r="AO36" i="25"/>
  <c r="U292" i="25"/>
  <c r="V292" i="25"/>
  <c r="AO265" i="25"/>
  <c r="V299" i="25"/>
  <c r="U299" i="25"/>
  <c r="AD282" i="25"/>
  <c r="AE282" i="25" s="1"/>
  <c r="W282" i="25"/>
  <c r="Z282" i="25" s="1"/>
  <c r="AA282" i="25" s="1"/>
  <c r="AB282" i="25" s="1"/>
  <c r="AO143" i="25"/>
  <c r="AO268" i="25"/>
  <c r="U260" i="25"/>
  <c r="V260" i="25"/>
  <c r="AO252" i="25"/>
  <c r="AD194" i="25"/>
  <c r="AE194" i="25" s="1"/>
  <c r="W194" i="25"/>
  <c r="Z194" i="25" s="1"/>
  <c r="AA194" i="25" s="1"/>
  <c r="AB194" i="25" s="1"/>
  <c r="AD162" i="25"/>
  <c r="AE162" i="25" s="1"/>
  <c r="W162" i="25"/>
  <c r="Z162" i="25" s="1"/>
  <c r="AA162" i="25" s="1"/>
  <c r="AB162" i="25" s="1"/>
  <c r="V192" i="25"/>
  <c r="U192" i="25"/>
  <c r="W168" i="25"/>
  <c r="Z168" i="25" s="1"/>
  <c r="AA168" i="25" s="1"/>
  <c r="AB168" i="25" s="1"/>
  <c r="AD168" i="25"/>
  <c r="AE168" i="25" s="1"/>
  <c r="V144" i="25"/>
  <c r="U144" i="25"/>
  <c r="AD95" i="25"/>
  <c r="AE95" i="25" s="1"/>
  <c r="W95" i="25"/>
  <c r="Z95" i="25" s="1"/>
  <c r="AA95" i="25" s="1"/>
  <c r="AB95" i="25" s="1"/>
  <c r="V62" i="25"/>
  <c r="U62" i="25"/>
  <c r="AD261" i="25"/>
  <c r="AE261" i="25" s="1"/>
  <c r="W261" i="25"/>
  <c r="Z261" i="25" s="1"/>
  <c r="AA261" i="25" s="1"/>
  <c r="AB261" i="25" s="1"/>
  <c r="AD127" i="25"/>
  <c r="AE127" i="25" s="1"/>
  <c r="W127" i="25"/>
  <c r="Z127" i="25" s="1"/>
  <c r="AA127" i="25" s="1"/>
  <c r="AB127" i="25" s="1"/>
  <c r="W90" i="25"/>
  <c r="Z90" i="25" s="1"/>
  <c r="AA90" i="25" s="1"/>
  <c r="AB90" i="25" s="1"/>
  <c r="AD90" i="25"/>
  <c r="AE90" i="25" s="1"/>
  <c r="W314" i="25"/>
  <c r="Z314" i="25" s="1"/>
  <c r="AA314" i="25" s="1"/>
  <c r="AB314" i="25" s="1"/>
  <c r="AD314" i="25"/>
  <c r="AE314" i="25" s="1"/>
  <c r="V311" i="25"/>
  <c r="U311" i="25"/>
  <c r="U296" i="25"/>
  <c r="V296" i="25"/>
  <c r="W313" i="25"/>
  <c r="Z313" i="25" s="1"/>
  <c r="AA313" i="25" s="1"/>
  <c r="AD313" i="25"/>
  <c r="AE313" i="25" s="1"/>
  <c r="V313" i="25"/>
  <c r="U313" i="25"/>
  <c r="V280" i="25"/>
  <c r="U280" i="25"/>
  <c r="AD286" i="25"/>
  <c r="AE286" i="25" s="1"/>
  <c r="W286" i="25"/>
  <c r="Z286" i="25" s="1"/>
  <c r="AA286" i="25" s="1"/>
  <c r="AB286" i="25" s="1"/>
  <c r="AO286" i="25"/>
  <c r="AO200" i="25"/>
  <c r="U234" i="25"/>
  <c r="V234" i="25"/>
  <c r="AD298" i="25"/>
  <c r="AE298" i="25" s="1"/>
  <c r="W298" i="25"/>
  <c r="Z298" i="25" s="1"/>
  <c r="AA298" i="25" s="1"/>
  <c r="AB298" i="25" s="1"/>
  <c r="AO298" i="25"/>
  <c r="AD195" i="25"/>
  <c r="AE195" i="25" s="1"/>
  <c r="W195" i="25"/>
  <c r="Z195" i="25" s="1"/>
  <c r="AA195" i="25" s="1"/>
  <c r="AO179" i="25"/>
  <c r="AD163" i="25"/>
  <c r="AE163" i="25" s="1"/>
  <c r="W163" i="25"/>
  <c r="Z163" i="25" s="1"/>
  <c r="AA163" i="25" s="1"/>
  <c r="AO147" i="25"/>
  <c r="AD131" i="25"/>
  <c r="AE131" i="25" s="1"/>
  <c r="W131" i="25"/>
  <c r="Z131" i="25" s="1"/>
  <c r="AA131" i="25" s="1"/>
  <c r="U263" i="25"/>
  <c r="V263" i="25"/>
  <c r="AD255" i="25"/>
  <c r="AE255" i="25" s="1"/>
  <c r="W255" i="25"/>
  <c r="Z255" i="25" s="1"/>
  <c r="AA255" i="25" s="1"/>
  <c r="AB255" i="25" s="1"/>
  <c r="AO255" i="25"/>
  <c r="U229" i="25"/>
  <c r="V229" i="25"/>
  <c r="AD198" i="25"/>
  <c r="AE198" i="25" s="1"/>
  <c r="W198" i="25"/>
  <c r="Z198" i="25" s="1"/>
  <c r="AA198" i="25" s="1"/>
  <c r="AB198" i="25" s="1"/>
  <c r="U198" i="25"/>
  <c r="V198" i="25"/>
  <c r="AD166" i="25"/>
  <c r="AE166" i="25" s="1"/>
  <c r="W166" i="25"/>
  <c r="Z166" i="25" s="1"/>
  <c r="AA166" i="25" s="1"/>
  <c r="AB166" i="25" s="1"/>
  <c r="U166" i="25"/>
  <c r="V166" i="25"/>
  <c r="AD134" i="25"/>
  <c r="AE134" i="25" s="1"/>
  <c r="W134" i="25"/>
  <c r="Z134" i="25" s="1"/>
  <c r="AA134" i="25" s="1"/>
  <c r="AB134" i="25" s="1"/>
  <c r="U134" i="25"/>
  <c r="V134" i="25"/>
  <c r="U193" i="25"/>
  <c r="V193" i="25"/>
  <c r="AD185" i="25"/>
  <c r="AE185" i="25" s="1"/>
  <c r="W185" i="25"/>
  <c r="Z185" i="25" s="1"/>
  <c r="AA185" i="25" s="1"/>
  <c r="AB185" i="25" s="1"/>
  <c r="U177" i="25"/>
  <c r="V177" i="25"/>
  <c r="AD169" i="25"/>
  <c r="AE169" i="25" s="1"/>
  <c r="W169" i="25"/>
  <c r="Z169" i="25" s="1"/>
  <c r="AA169" i="25" s="1"/>
  <c r="AB169" i="25" s="1"/>
  <c r="U161" i="25"/>
  <c r="V161" i="25"/>
  <c r="AD153" i="25"/>
  <c r="AE153" i="25" s="1"/>
  <c r="W153" i="25"/>
  <c r="Z153" i="25" s="1"/>
  <c r="AA153" i="25" s="1"/>
  <c r="AB153" i="25" s="1"/>
  <c r="U145" i="25"/>
  <c r="V145" i="25"/>
  <c r="AD137" i="25"/>
  <c r="AE137" i="25" s="1"/>
  <c r="W137" i="25"/>
  <c r="Z137" i="25" s="1"/>
  <c r="AA137" i="25" s="1"/>
  <c r="AB137" i="25" s="1"/>
  <c r="U129" i="25"/>
  <c r="V129" i="25"/>
  <c r="AD119" i="25"/>
  <c r="AE119" i="25" s="1"/>
  <c r="W119" i="25"/>
  <c r="Z119" i="25" s="1"/>
  <c r="AA119" i="25" s="1"/>
  <c r="AO119" i="25"/>
  <c r="V104" i="25"/>
  <c r="U104" i="25"/>
  <c r="V100" i="25"/>
  <c r="U100" i="25"/>
  <c r="V96" i="25"/>
  <c r="U96" i="25"/>
  <c r="V92" i="25"/>
  <c r="U92" i="25"/>
  <c r="U227" i="25"/>
  <c r="V227" i="25"/>
  <c r="AD219" i="25"/>
  <c r="AE219" i="25" s="1"/>
  <c r="W219" i="25"/>
  <c r="Z219" i="25" s="1"/>
  <c r="AA219" i="25" s="1"/>
  <c r="AO219" i="25"/>
  <c r="AO118" i="25"/>
  <c r="AO67" i="25"/>
  <c r="AO51" i="25"/>
  <c r="AO31" i="25"/>
  <c r="V31" i="25"/>
  <c r="U31" i="25"/>
  <c r="AO15" i="25"/>
  <c r="V85" i="25"/>
  <c r="U85" i="25"/>
  <c r="V61" i="25"/>
  <c r="U61" i="25"/>
  <c r="V29" i="25"/>
  <c r="U29" i="25"/>
  <c r="V302" i="25"/>
  <c r="U302" i="25"/>
  <c r="AD292" i="25"/>
  <c r="AE292" i="25" s="1"/>
  <c r="W292" i="25"/>
  <c r="Z292" i="25" s="1"/>
  <c r="AA292" i="25" s="1"/>
  <c r="AB292" i="25" s="1"/>
  <c r="AO292" i="25"/>
  <c r="AO312" i="25"/>
  <c r="V271" i="25"/>
  <c r="U271" i="25"/>
  <c r="AD276" i="25"/>
  <c r="AE276" i="25" s="1"/>
  <c r="W276" i="25"/>
  <c r="Z276" i="25" s="1"/>
  <c r="AA276" i="25" s="1"/>
  <c r="AB276" i="25" s="1"/>
  <c r="AO276" i="25"/>
  <c r="U233" i="25"/>
  <c r="V233" i="25"/>
  <c r="AD299" i="25"/>
  <c r="AE299" i="25" s="1"/>
  <c r="W299" i="25"/>
  <c r="Z299" i="25" s="1"/>
  <c r="AA299" i="25" s="1"/>
  <c r="U210" i="25"/>
  <c r="V210" i="25"/>
  <c r="AD202" i="25"/>
  <c r="AE202" i="25" s="1"/>
  <c r="W202" i="25"/>
  <c r="Z202" i="25" s="1"/>
  <c r="AA202" i="25" s="1"/>
  <c r="AB202" i="25" s="1"/>
  <c r="V191" i="25"/>
  <c r="U191" i="25"/>
  <c r="AD175" i="25"/>
  <c r="AE175" i="25" s="1"/>
  <c r="W175" i="25"/>
  <c r="Z175" i="25" s="1"/>
  <c r="AA175" i="25" s="1"/>
  <c r="V159" i="25"/>
  <c r="U159" i="25"/>
  <c r="AD143" i="25"/>
  <c r="AE143" i="25" s="1"/>
  <c r="W143" i="25"/>
  <c r="Z143" i="25" s="1"/>
  <c r="AA143" i="25" s="1"/>
  <c r="AD260" i="25"/>
  <c r="AE260" i="25" s="1"/>
  <c r="W260" i="25"/>
  <c r="Z260" i="25" s="1"/>
  <c r="AA260" i="25" s="1"/>
  <c r="AO260" i="25"/>
  <c r="U236" i="25"/>
  <c r="V236" i="25"/>
  <c r="AD225" i="25"/>
  <c r="AE225" i="25" s="1"/>
  <c r="W225" i="25"/>
  <c r="Z225" i="25" s="1"/>
  <c r="AA225" i="25" s="1"/>
  <c r="AO225" i="25"/>
  <c r="AO194" i="25"/>
  <c r="AO162" i="25"/>
  <c r="AD130" i="25"/>
  <c r="AE130" i="25" s="1"/>
  <c r="W130" i="25"/>
  <c r="Z130" i="25" s="1"/>
  <c r="AA130" i="25" s="1"/>
  <c r="AO192" i="25"/>
  <c r="AO160" i="25"/>
  <c r="AD99" i="25"/>
  <c r="AE99" i="25" s="1"/>
  <c r="W99" i="25"/>
  <c r="Z99" i="25" s="1"/>
  <c r="AA99" i="25" s="1"/>
  <c r="AB99" i="25" s="1"/>
  <c r="AD91" i="25"/>
  <c r="AE91" i="25" s="1"/>
  <c r="W91" i="25"/>
  <c r="Z91" i="25" s="1"/>
  <c r="AA91" i="25" s="1"/>
  <c r="AB91" i="25" s="1"/>
  <c r="V57" i="25"/>
  <c r="U57" i="25"/>
  <c r="V64" i="25"/>
  <c r="U64" i="25"/>
  <c r="AO291" i="25"/>
  <c r="AD171" i="25"/>
  <c r="AE171" i="25" s="1"/>
  <c r="W171" i="25"/>
  <c r="Z171" i="25" s="1"/>
  <c r="AA171" i="25" s="1"/>
  <c r="AB171" i="25" s="1"/>
  <c r="W278" i="25"/>
  <c r="Z278" i="25" s="1"/>
  <c r="AA278" i="25" s="1"/>
  <c r="AB278" i="25" s="1"/>
  <c r="AD278" i="25"/>
  <c r="AE278" i="25" s="1"/>
  <c r="U181" i="25"/>
  <c r="V181" i="25"/>
  <c r="U149" i="25"/>
  <c r="V149" i="25"/>
  <c r="U117" i="25"/>
  <c r="V117" i="25"/>
  <c r="AD60" i="25"/>
  <c r="AE60" i="25" s="1"/>
  <c r="W60" i="25"/>
  <c r="Z60" i="25" s="1"/>
  <c r="AA60" i="25" s="1"/>
  <c r="AB60" i="25" s="1"/>
  <c r="W24" i="25"/>
  <c r="Z24" i="25" s="1"/>
  <c r="AA24" i="25" s="1"/>
  <c r="AB24" i="25" s="1"/>
  <c r="AD24" i="25"/>
  <c r="AE24" i="25" s="1"/>
  <c r="AO283" i="25"/>
  <c r="V188" i="25"/>
  <c r="U188" i="25"/>
  <c r="AD75" i="25"/>
  <c r="AE75" i="25" s="1"/>
  <c r="W75" i="25"/>
  <c r="Z75" i="25" s="1"/>
  <c r="AA75" i="25" s="1"/>
  <c r="AB75" i="25" s="1"/>
  <c r="AD303" i="25"/>
  <c r="AE303" i="25" s="1"/>
  <c r="W303" i="25"/>
  <c r="Z303" i="25" s="1"/>
  <c r="AA303" i="25" s="1"/>
  <c r="AO313" i="25"/>
  <c r="U286" i="25"/>
  <c r="V286" i="25"/>
  <c r="AO253" i="25"/>
  <c r="AD220" i="25"/>
  <c r="AE220" i="25" s="1"/>
  <c r="W220" i="25"/>
  <c r="Z220" i="25" s="1"/>
  <c r="AA220" i="25" s="1"/>
  <c r="AB220" i="25" s="1"/>
  <c r="V195" i="25"/>
  <c r="U195" i="25"/>
  <c r="V163" i="25"/>
  <c r="U163" i="25"/>
  <c r="V131" i="25"/>
  <c r="U131" i="25"/>
  <c r="AO270" i="25"/>
  <c r="U255" i="25"/>
  <c r="V255" i="25"/>
  <c r="AO137" i="25"/>
  <c r="AD118" i="25"/>
  <c r="AE118" i="25" s="1"/>
  <c r="W118" i="25"/>
  <c r="Z118" i="25" s="1"/>
  <c r="AA118" i="25" s="1"/>
  <c r="V15" i="25"/>
  <c r="U15" i="25"/>
  <c r="W82" i="25"/>
  <c r="Z82" i="25" s="1"/>
  <c r="AA82" i="25" s="1"/>
  <c r="AB82" i="25" s="1"/>
  <c r="AD82" i="25"/>
  <c r="AE82" i="25" s="1"/>
  <c r="AO66" i="25"/>
  <c r="W52" i="25"/>
  <c r="Z52" i="25" s="1"/>
  <c r="AA52" i="25" s="1"/>
  <c r="AB52" i="25" s="1"/>
  <c r="AD52" i="25"/>
  <c r="AE52" i="25" s="1"/>
  <c r="AD81" i="25"/>
  <c r="AE81" i="25" s="1"/>
  <c r="W81" i="25"/>
  <c r="Z81" i="25" s="1"/>
  <c r="AA81" i="25" s="1"/>
  <c r="AB81" i="25" s="1"/>
  <c r="AD41" i="25"/>
  <c r="AE41" i="25" s="1"/>
  <c r="W41" i="25"/>
  <c r="Z41" i="25" s="1"/>
  <c r="AA41" i="25" s="1"/>
  <c r="AB41" i="25" s="1"/>
  <c r="W310" i="25"/>
  <c r="Z310" i="25" s="1"/>
  <c r="AA310" i="25" s="1"/>
  <c r="AB310" i="25" s="1"/>
  <c r="AD310" i="25"/>
  <c r="AE310" i="25" s="1"/>
  <c r="AO302" i="25"/>
  <c r="AD312" i="25"/>
  <c r="AE312" i="25" s="1"/>
  <c r="W312" i="25"/>
  <c r="Z312" i="25" s="1"/>
  <c r="AA312" i="25" s="1"/>
  <c r="AB312" i="25" s="1"/>
  <c r="AD265" i="25"/>
  <c r="AE265" i="25" s="1"/>
  <c r="W265" i="25"/>
  <c r="Z265" i="25" s="1"/>
  <c r="AA265" i="25" s="1"/>
  <c r="AB265" i="25" s="1"/>
  <c r="AO299" i="25"/>
  <c r="AO262" i="25"/>
  <c r="AO282" i="25"/>
  <c r="AO202" i="25"/>
  <c r="AO175" i="25"/>
  <c r="AD252" i="25"/>
  <c r="AE252" i="25" s="1"/>
  <c r="W252" i="25"/>
  <c r="Z252" i="25" s="1"/>
  <c r="AA252" i="25" s="1"/>
  <c r="U194" i="25"/>
  <c r="V194" i="25"/>
  <c r="AO130" i="25"/>
  <c r="W176" i="25"/>
  <c r="Z176" i="25" s="1"/>
  <c r="AA176" i="25" s="1"/>
  <c r="AD176" i="25"/>
  <c r="AE176" i="25" s="1"/>
  <c r="V160" i="25"/>
  <c r="U160" i="25"/>
  <c r="V128" i="25"/>
  <c r="U128" i="25"/>
  <c r="V103" i="25"/>
  <c r="U103" i="25"/>
  <c r="AO63" i="25"/>
  <c r="V77" i="25"/>
  <c r="U77" i="25"/>
  <c r="AO288" i="25"/>
  <c r="U221" i="25"/>
  <c r="V221" i="25"/>
  <c r="AD165" i="25"/>
  <c r="AE165" i="25" s="1"/>
  <c r="W165" i="25"/>
  <c r="Z165" i="25" s="1"/>
  <c r="AA165" i="25" s="1"/>
  <c r="AB165" i="25" s="1"/>
  <c r="V94" i="25"/>
  <c r="U94" i="25"/>
  <c r="W9" i="25"/>
  <c r="Z9" i="25" s="1"/>
  <c r="AA9" i="25" s="1"/>
  <c r="AB9" i="25" s="1"/>
  <c r="AD9" i="25"/>
  <c r="AE9" i="25" s="1"/>
  <c r="V314" i="25"/>
  <c r="U314" i="25"/>
  <c r="V303" i="25"/>
  <c r="U303" i="25"/>
  <c r="W311" i="25"/>
  <c r="Z311" i="25" s="1"/>
  <c r="AA311" i="25" s="1"/>
  <c r="AD311" i="25"/>
  <c r="AE311" i="25" s="1"/>
  <c r="AO311" i="25"/>
  <c r="U289" i="25"/>
  <c r="V289" i="25"/>
  <c r="W275" i="25"/>
  <c r="Z275" i="25" s="1"/>
  <c r="AA275" i="25" s="1"/>
  <c r="AB275" i="25" s="1"/>
  <c r="AD275" i="25"/>
  <c r="AE275" i="25" s="1"/>
  <c r="U253" i="25"/>
  <c r="V253" i="25"/>
  <c r="AD237" i="25"/>
  <c r="AE237" i="25" s="1"/>
  <c r="W237" i="25"/>
  <c r="Z237" i="25" s="1"/>
  <c r="AA237" i="25" s="1"/>
  <c r="AO237" i="25"/>
  <c r="V200" i="25"/>
  <c r="U200" i="25"/>
  <c r="U266" i="25"/>
  <c r="V266" i="25"/>
  <c r="AD250" i="25"/>
  <c r="AE250" i="25" s="1"/>
  <c r="W250" i="25"/>
  <c r="Z250" i="25" s="1"/>
  <c r="AA250" i="25" s="1"/>
  <c r="AO250" i="25"/>
  <c r="U220" i="25"/>
  <c r="V220" i="25"/>
  <c r="W205" i="25"/>
  <c r="Z205" i="25" s="1"/>
  <c r="AA205" i="25" s="1"/>
  <c r="AB205" i="25" s="1"/>
  <c r="AD205" i="25"/>
  <c r="AE205" i="25" s="1"/>
  <c r="AO195" i="25"/>
  <c r="AD179" i="25"/>
  <c r="AE179" i="25" s="1"/>
  <c r="W179" i="25"/>
  <c r="Z179" i="25" s="1"/>
  <c r="AA179" i="25" s="1"/>
  <c r="AO163" i="25"/>
  <c r="AD147" i="25"/>
  <c r="AE147" i="25" s="1"/>
  <c r="W147" i="25"/>
  <c r="Z147" i="25" s="1"/>
  <c r="AA147" i="25" s="1"/>
  <c r="AO131" i="25"/>
  <c r="W270" i="25"/>
  <c r="Z270" i="25" s="1"/>
  <c r="AA270" i="25" s="1"/>
  <c r="AD270" i="25"/>
  <c r="AE270" i="25" s="1"/>
  <c r="V270" i="25"/>
  <c r="U270" i="25"/>
  <c r="U247" i="25"/>
  <c r="V247" i="25"/>
  <c r="AD239" i="25"/>
  <c r="AE239" i="25" s="1"/>
  <c r="W239" i="25"/>
  <c r="Z239" i="25" s="1"/>
  <c r="AA239" i="25" s="1"/>
  <c r="AO239" i="25"/>
  <c r="AD182" i="25"/>
  <c r="AE182" i="25" s="1"/>
  <c r="W182" i="25"/>
  <c r="Z182" i="25" s="1"/>
  <c r="AA182" i="25" s="1"/>
  <c r="AB182" i="25" s="1"/>
  <c r="U182" i="25"/>
  <c r="V182" i="25"/>
  <c r="AD150" i="25"/>
  <c r="AE150" i="25" s="1"/>
  <c r="W150" i="25"/>
  <c r="Z150" i="25" s="1"/>
  <c r="AA150" i="25" s="1"/>
  <c r="AB150" i="25" s="1"/>
  <c r="U150" i="25"/>
  <c r="V150" i="25"/>
  <c r="AD193" i="25"/>
  <c r="AE193" i="25" s="1"/>
  <c r="W193" i="25"/>
  <c r="Z193" i="25" s="1"/>
  <c r="AA193" i="25" s="1"/>
  <c r="U185" i="25"/>
  <c r="V185" i="25"/>
  <c r="AD177" i="25"/>
  <c r="AE177" i="25" s="1"/>
  <c r="W177" i="25"/>
  <c r="Z177" i="25" s="1"/>
  <c r="AA177" i="25" s="1"/>
  <c r="U169" i="25"/>
  <c r="V169" i="25"/>
  <c r="AD161" i="25"/>
  <c r="AE161" i="25" s="1"/>
  <c r="W161" i="25"/>
  <c r="Z161" i="25" s="1"/>
  <c r="AA161" i="25" s="1"/>
  <c r="U153" i="25"/>
  <c r="V153" i="25"/>
  <c r="AD145" i="25"/>
  <c r="AE145" i="25" s="1"/>
  <c r="W145" i="25"/>
  <c r="Z145" i="25" s="1"/>
  <c r="AA145" i="25" s="1"/>
  <c r="U137" i="25"/>
  <c r="V137" i="25"/>
  <c r="AD129" i="25"/>
  <c r="AE129" i="25" s="1"/>
  <c r="W129" i="25"/>
  <c r="Z129" i="25" s="1"/>
  <c r="AA129" i="25" s="1"/>
  <c r="AD104" i="25"/>
  <c r="AE104" i="25" s="1"/>
  <c r="W104" i="25"/>
  <c r="Z104" i="25" s="1"/>
  <c r="AA104" i="25" s="1"/>
  <c r="AB104" i="25" s="1"/>
  <c r="AD100" i="25"/>
  <c r="AE100" i="25" s="1"/>
  <c r="W100" i="25"/>
  <c r="Z100" i="25" s="1"/>
  <c r="AA100" i="25" s="1"/>
  <c r="AB100" i="25" s="1"/>
  <c r="AO100" i="25"/>
  <c r="AD96" i="25"/>
  <c r="AE96" i="25" s="1"/>
  <c r="W96" i="25"/>
  <c r="Z96" i="25" s="1"/>
  <c r="AA96" i="25" s="1"/>
  <c r="AB96" i="25" s="1"/>
  <c r="AD92" i="25"/>
  <c r="AE92" i="25" s="1"/>
  <c r="W92" i="25"/>
  <c r="Z92" i="25" s="1"/>
  <c r="AA92" i="25" s="1"/>
  <c r="AB92" i="25" s="1"/>
  <c r="AO92" i="25"/>
  <c r="AD273" i="25"/>
  <c r="AE273" i="25" s="1"/>
  <c r="W273" i="25"/>
  <c r="Z273" i="25" s="1"/>
  <c r="AA273" i="25" s="1"/>
  <c r="V67" i="25"/>
  <c r="U67" i="25"/>
  <c r="AO61" i="25"/>
  <c r="AO11" i="25"/>
  <c r="AO7" i="25"/>
  <c r="AO82" i="25"/>
  <c r="AO84" i="25"/>
  <c r="AO68" i="25"/>
  <c r="AO52" i="25"/>
  <c r="V32" i="25"/>
  <c r="U32" i="25"/>
  <c r="AO32" i="25"/>
  <c r="V16" i="25"/>
  <c r="U16" i="25"/>
  <c r="AO16" i="25"/>
  <c r="AO81" i="25"/>
  <c r="V81" i="25"/>
  <c r="U81" i="25"/>
  <c r="AO41" i="25"/>
  <c r="V41" i="25"/>
  <c r="U41" i="25"/>
  <c r="AO46" i="25"/>
  <c r="AO26" i="25"/>
  <c r="V310" i="25"/>
  <c r="U310" i="25"/>
  <c r="AD302" i="25"/>
  <c r="AE302" i="25" s="1"/>
  <c r="W302" i="25"/>
  <c r="Z302" i="25" s="1"/>
  <c r="AA302" i="25" s="1"/>
  <c r="V312" i="25"/>
  <c r="U312" i="25"/>
  <c r="AD285" i="25"/>
  <c r="AE285" i="25" s="1"/>
  <c r="W285" i="25"/>
  <c r="Z285" i="25" s="1"/>
  <c r="AA285" i="25" s="1"/>
  <c r="AO285" i="25"/>
  <c r="AO271" i="25"/>
  <c r="U265" i="25"/>
  <c r="V265" i="25"/>
  <c r="AD249" i="25"/>
  <c r="AE249" i="25" s="1"/>
  <c r="W249" i="25"/>
  <c r="Z249" i="25" s="1"/>
  <c r="AA249" i="25" s="1"/>
  <c r="AO249" i="25"/>
  <c r="U262" i="25"/>
  <c r="V262" i="25"/>
  <c r="AD246" i="25"/>
  <c r="AE246" i="25" s="1"/>
  <c r="W246" i="25"/>
  <c r="Z246" i="25" s="1"/>
  <c r="AA246" i="25" s="1"/>
  <c r="AO246" i="25"/>
  <c r="AO207" i="25"/>
  <c r="U282" i="25"/>
  <c r="V282" i="25"/>
  <c r="AD210" i="25"/>
  <c r="AE210" i="25" s="1"/>
  <c r="W210" i="25"/>
  <c r="Z210" i="25" s="1"/>
  <c r="AA210" i="25" s="1"/>
  <c r="U202" i="25"/>
  <c r="V202" i="25"/>
  <c r="AD191" i="25"/>
  <c r="AE191" i="25" s="1"/>
  <c r="W191" i="25"/>
  <c r="Z191" i="25" s="1"/>
  <c r="AA191" i="25" s="1"/>
  <c r="V175" i="25"/>
  <c r="U175" i="25"/>
  <c r="AD159" i="25"/>
  <c r="AE159" i="25" s="1"/>
  <c r="W159" i="25"/>
  <c r="Z159" i="25" s="1"/>
  <c r="AA159" i="25" s="1"/>
  <c r="V143" i="25"/>
  <c r="U143" i="25"/>
  <c r="AD287" i="25"/>
  <c r="AE287" i="25" s="1"/>
  <c r="W287" i="25"/>
  <c r="Z287" i="25" s="1"/>
  <c r="AA287" i="25" s="1"/>
  <c r="AO287" i="25"/>
  <c r="U268" i="25"/>
  <c r="V268" i="25"/>
  <c r="U252" i="25"/>
  <c r="V252" i="25"/>
  <c r="AD244" i="25"/>
  <c r="AE244" i="25" s="1"/>
  <c r="W244" i="25"/>
  <c r="Z244" i="25" s="1"/>
  <c r="AA244" i="25" s="1"/>
  <c r="AO244" i="25"/>
  <c r="AO178" i="25"/>
  <c r="U146" i="25"/>
  <c r="V146" i="25"/>
  <c r="U130" i="25"/>
  <c r="V130" i="25"/>
  <c r="AO176" i="25"/>
  <c r="AD103" i="25"/>
  <c r="AE103" i="25" s="1"/>
  <c r="W103" i="25"/>
  <c r="Z103" i="25" s="1"/>
  <c r="AA103" i="25" s="1"/>
  <c r="AB103" i="25" s="1"/>
  <c r="V91" i="25"/>
  <c r="U91" i="25"/>
  <c r="AD291" i="25"/>
  <c r="AE291" i="25" s="1"/>
  <c r="W291" i="25"/>
  <c r="Z291" i="25" s="1"/>
  <c r="AA291" i="25" s="1"/>
  <c r="AB291" i="25" s="1"/>
  <c r="V278" i="25"/>
  <c r="U278" i="25"/>
  <c r="AD174" i="25"/>
  <c r="AE174" i="25" s="1"/>
  <c r="W174" i="25"/>
  <c r="Z174" i="25" s="1"/>
  <c r="AA174" i="25" s="1"/>
  <c r="V304" i="25"/>
  <c r="U304" i="25"/>
  <c r="AO217" i="25"/>
  <c r="AD55" i="25"/>
  <c r="AE55" i="25" s="1"/>
  <c r="W55" i="25"/>
  <c r="Z55" i="25" s="1"/>
  <c r="AA55" i="25" s="1"/>
  <c r="AB55" i="25" s="1"/>
  <c r="AO314" i="25"/>
  <c r="AO303" i="25"/>
  <c r="AO289" i="25"/>
  <c r="AO275" i="25"/>
  <c r="AD266" i="25"/>
  <c r="AE266" i="25" s="1"/>
  <c r="W266" i="25"/>
  <c r="Z266" i="25" s="1"/>
  <c r="AA266" i="25" s="1"/>
  <c r="U298" i="25"/>
  <c r="V298" i="25"/>
  <c r="AO220" i="25"/>
  <c r="AO247" i="25"/>
  <c r="AO150" i="25"/>
  <c r="AO169" i="25"/>
  <c r="V119" i="25"/>
  <c r="U119" i="25"/>
  <c r="V118" i="25"/>
  <c r="U118" i="25"/>
  <c r="V116" i="25"/>
  <c r="U116" i="25"/>
  <c r="AD84" i="25"/>
  <c r="AE84" i="25" s="1"/>
  <c r="W84" i="25"/>
  <c r="Z84" i="25" s="1"/>
  <c r="AA84" i="25" s="1"/>
  <c r="AB84" i="25" s="1"/>
  <c r="W32" i="25"/>
  <c r="Z32" i="25" s="1"/>
  <c r="AA32" i="25" s="1"/>
  <c r="AB32" i="25" s="1"/>
  <c r="AD32" i="25"/>
  <c r="AE32" i="25" s="1"/>
  <c r="W46" i="25"/>
  <c r="Z46" i="25" s="1"/>
  <c r="AA46" i="25" s="1"/>
  <c r="AB46" i="25" s="1"/>
  <c r="AD46" i="25"/>
  <c r="AE46" i="25" s="1"/>
  <c r="W26" i="25"/>
  <c r="Z26" i="25" s="1"/>
  <c r="AA26" i="25" s="1"/>
  <c r="AB26" i="25" s="1"/>
  <c r="AD26" i="25"/>
  <c r="AE26" i="25" s="1"/>
  <c r="V307" i="25"/>
  <c r="U307" i="25"/>
  <c r="V276" i="25"/>
  <c r="U276" i="25"/>
  <c r="AD262" i="25"/>
  <c r="AE262" i="25" s="1"/>
  <c r="W262" i="25"/>
  <c r="Z262" i="25" s="1"/>
  <c r="AA262" i="25" s="1"/>
  <c r="U225" i="25"/>
  <c r="V225" i="25"/>
  <c r="U162" i="25"/>
  <c r="V162" i="25"/>
  <c r="V184" i="25"/>
  <c r="U184" i="25"/>
  <c r="V152" i="25"/>
  <c r="U152" i="25"/>
  <c r="V136" i="25"/>
  <c r="U136" i="25"/>
  <c r="AO115" i="25"/>
  <c r="V272" i="25"/>
  <c r="U272" i="25"/>
  <c r="AO139" i="25"/>
  <c r="AD189" i="25"/>
  <c r="AE189" i="25" s="1"/>
  <c r="W189" i="25"/>
  <c r="Z189" i="25" s="1"/>
  <c r="AA189" i="25" s="1"/>
  <c r="AB189" i="25" s="1"/>
  <c r="V102" i="25"/>
  <c r="U102" i="25"/>
  <c r="AD49" i="25"/>
  <c r="AE49" i="25" s="1"/>
  <c r="W49" i="25"/>
  <c r="Z49" i="25" s="1"/>
  <c r="AA49" i="25" s="1"/>
  <c r="AB49" i="25" s="1"/>
  <c r="W54" i="25"/>
  <c r="Z54" i="25" s="1"/>
  <c r="AA54" i="25" s="1"/>
  <c r="AB54" i="25" s="1"/>
  <c r="AD54" i="25"/>
  <c r="AE54" i="25" s="1"/>
  <c r="AD296" i="25"/>
  <c r="AE296" i="25" s="1"/>
  <c r="W296" i="25"/>
  <c r="Z296" i="25" s="1"/>
  <c r="AA296" i="25" s="1"/>
  <c r="AO296" i="25"/>
  <c r="V275" i="25"/>
  <c r="U275" i="25"/>
  <c r="AD280" i="25"/>
  <c r="AE280" i="25" s="1"/>
  <c r="W280" i="25"/>
  <c r="Z280" i="25" s="1"/>
  <c r="AA280" i="25" s="1"/>
  <c r="AO280" i="25"/>
  <c r="U237" i="25"/>
  <c r="V237" i="25"/>
  <c r="AD200" i="25"/>
  <c r="AE200" i="25" s="1"/>
  <c r="W200" i="25"/>
  <c r="Z200" i="25" s="1"/>
  <c r="AA200" i="25" s="1"/>
  <c r="U250" i="25"/>
  <c r="V250" i="25"/>
  <c r="AD234" i="25"/>
  <c r="AE234" i="25" s="1"/>
  <c r="W234" i="25"/>
  <c r="Z234" i="25" s="1"/>
  <c r="AA234" i="25" s="1"/>
  <c r="AO234" i="25"/>
  <c r="AO205" i="25"/>
  <c r="V179" i="25"/>
  <c r="U179" i="25"/>
  <c r="V147" i="25"/>
  <c r="U147" i="25"/>
  <c r="AD263" i="25"/>
  <c r="AE263" i="25" s="1"/>
  <c r="W263" i="25"/>
  <c r="Z263" i="25" s="1"/>
  <c r="AA263" i="25" s="1"/>
  <c r="AO263" i="25"/>
  <c r="U239" i="25"/>
  <c r="V239" i="25"/>
  <c r="AD229" i="25"/>
  <c r="AE229" i="25" s="1"/>
  <c r="W229" i="25"/>
  <c r="Z229" i="25" s="1"/>
  <c r="AA229" i="25" s="1"/>
  <c r="AO229" i="25"/>
  <c r="AO198" i="25"/>
  <c r="AO166" i="25"/>
  <c r="AO134" i="25"/>
  <c r="AO193" i="25"/>
  <c r="AO177" i="25"/>
  <c r="AO161" i="25"/>
  <c r="AO145" i="25"/>
  <c r="AO129" i="25"/>
  <c r="AO104" i="25"/>
  <c r="AO96" i="25"/>
  <c r="V273" i="25"/>
  <c r="U273" i="25"/>
  <c r="AD227" i="25"/>
  <c r="AE227" i="25" s="1"/>
  <c r="W227" i="25"/>
  <c r="Z227" i="25" s="1"/>
  <c r="AA227" i="25" s="1"/>
  <c r="AO227" i="25"/>
  <c r="W83" i="25"/>
  <c r="Z83" i="25" s="1"/>
  <c r="AA83" i="25" s="1"/>
  <c r="AB83" i="25" s="1"/>
  <c r="AD83" i="25"/>
  <c r="AE83" i="25" s="1"/>
  <c r="V83" i="25"/>
  <c r="U83" i="25"/>
  <c r="AD67" i="25"/>
  <c r="AE67" i="25" s="1"/>
  <c r="W67" i="25"/>
  <c r="Z67" i="25" s="1"/>
  <c r="AA67" i="25" s="1"/>
  <c r="AB67" i="25" s="1"/>
  <c r="W51" i="25"/>
  <c r="Z51" i="25" s="1"/>
  <c r="AA51" i="25" s="1"/>
  <c r="AB51" i="25" s="1"/>
  <c r="AD51" i="25"/>
  <c r="AE51" i="25" s="1"/>
  <c r="V51" i="25"/>
  <c r="U51" i="25"/>
  <c r="W31" i="25"/>
  <c r="Z31" i="25" s="1"/>
  <c r="AA31" i="25" s="1"/>
  <c r="AB31" i="25" s="1"/>
  <c r="AD31" i="25"/>
  <c r="AE31" i="25" s="1"/>
  <c r="AD15" i="25"/>
  <c r="AE15" i="25" s="1"/>
  <c r="W15" i="25"/>
  <c r="Z15" i="25" s="1"/>
  <c r="AA15" i="25" s="1"/>
  <c r="AB15" i="25" s="1"/>
  <c r="AD85" i="25"/>
  <c r="AE85" i="25" s="1"/>
  <c r="W85" i="25"/>
  <c r="Z85" i="25" s="1"/>
  <c r="AA85" i="25" s="1"/>
  <c r="AB85" i="25" s="1"/>
  <c r="AD61" i="25"/>
  <c r="AE61" i="25" s="1"/>
  <c r="W61" i="25"/>
  <c r="Z61" i="25" s="1"/>
  <c r="AA61" i="25" s="1"/>
  <c r="AB61" i="25" s="1"/>
  <c r="AD29" i="25"/>
  <c r="AE29" i="25" s="1"/>
  <c r="W29" i="25"/>
  <c r="Z29" i="25" s="1"/>
  <c r="AA29" i="25" s="1"/>
  <c r="AB29" i="25" s="1"/>
  <c r="W11" i="25"/>
  <c r="Z11" i="25" s="1"/>
  <c r="AA11" i="25" s="1"/>
  <c r="AB11" i="25" s="1"/>
  <c r="AD11" i="25"/>
  <c r="AE11" i="25" s="1"/>
  <c r="U11" i="25"/>
  <c r="V11" i="25"/>
  <c r="W7" i="25"/>
  <c r="Z7" i="25" s="1"/>
  <c r="AA7" i="25" s="1"/>
  <c r="AB7" i="25" s="1"/>
  <c r="AD7" i="25"/>
  <c r="AE7" i="25" s="1"/>
  <c r="U7" i="25"/>
  <c r="V7" i="25"/>
  <c r="AD116" i="25"/>
  <c r="AE116" i="25" s="1"/>
  <c r="W116" i="25"/>
  <c r="Z116" i="25" s="1"/>
  <c r="AA116" i="25" s="1"/>
  <c r="AO116" i="25"/>
  <c r="V82" i="25"/>
  <c r="U82" i="25"/>
  <c r="V66" i="25"/>
  <c r="U66" i="25"/>
  <c r="V84" i="25"/>
  <c r="U84" i="25"/>
  <c r="V68" i="25"/>
  <c r="U68" i="25"/>
  <c r="V52" i="25"/>
  <c r="U52" i="25"/>
  <c r="V46" i="25"/>
  <c r="U46" i="25"/>
  <c r="V36" i="25"/>
  <c r="U36" i="25"/>
  <c r="V26" i="25"/>
  <c r="U26" i="25"/>
  <c r="AO310" i="25"/>
  <c r="AD307" i="25"/>
  <c r="AE307" i="25" s="1"/>
  <c r="W307" i="25"/>
  <c r="Z307" i="25" s="1"/>
  <c r="AA307" i="25" s="1"/>
  <c r="AO307" i="25"/>
  <c r="U285" i="25"/>
  <c r="V285" i="25"/>
  <c r="W271" i="25"/>
  <c r="Z271" i="25" s="1"/>
  <c r="AA271" i="25" s="1"/>
  <c r="AB271" i="25" s="1"/>
  <c r="AD271" i="25"/>
  <c r="AE271" i="25" s="1"/>
  <c r="U249" i="25"/>
  <c r="V249" i="25"/>
  <c r="AD233" i="25"/>
  <c r="AE233" i="25" s="1"/>
  <c r="W233" i="25"/>
  <c r="Z233" i="25" s="1"/>
  <c r="AA233" i="25" s="1"/>
  <c r="AO233" i="25"/>
  <c r="U246" i="25"/>
  <c r="V246" i="25"/>
  <c r="AD207" i="25"/>
  <c r="AE207" i="25" s="1"/>
  <c r="W207" i="25"/>
  <c r="Z207" i="25" s="1"/>
  <c r="AA207" i="25" s="1"/>
  <c r="AB207" i="25" s="1"/>
  <c r="U207" i="25"/>
  <c r="V207" i="25"/>
  <c r="AO210" i="25"/>
  <c r="AO191" i="25"/>
  <c r="AO159" i="25"/>
  <c r="U287" i="25"/>
  <c r="V287" i="25"/>
  <c r="AD268" i="25"/>
  <c r="AE268" i="25" s="1"/>
  <c r="W268" i="25"/>
  <c r="Z268" i="25" s="1"/>
  <c r="AA268" i="25" s="1"/>
  <c r="U244" i="25"/>
  <c r="V244" i="25"/>
  <c r="AD236" i="25"/>
  <c r="AE236" i="25" s="1"/>
  <c r="W236" i="25"/>
  <c r="Z236" i="25" s="1"/>
  <c r="AA236" i="25" s="1"/>
  <c r="AO236" i="25"/>
  <c r="AD178" i="25"/>
  <c r="AE178" i="25" s="1"/>
  <c r="W178" i="25"/>
  <c r="Z178" i="25" s="1"/>
  <c r="AA178" i="25" s="1"/>
  <c r="AB178" i="25" s="1"/>
  <c r="U178" i="25"/>
  <c r="V178" i="25"/>
  <c r="AD146" i="25"/>
  <c r="AE146" i="25" s="1"/>
  <c r="W146" i="25"/>
  <c r="Z146" i="25" s="1"/>
  <c r="AA146" i="25" s="1"/>
  <c r="W192" i="25"/>
  <c r="Z192" i="25" s="1"/>
  <c r="AA192" i="25" s="1"/>
  <c r="AD192" i="25"/>
  <c r="AE192" i="25" s="1"/>
  <c r="W184" i="25"/>
  <c r="Z184" i="25" s="1"/>
  <c r="AA184" i="25" s="1"/>
  <c r="AB184" i="25" s="1"/>
  <c r="AD184" i="25"/>
  <c r="AE184" i="25" s="1"/>
  <c r="V176" i="25"/>
  <c r="U176" i="25"/>
  <c r="V168" i="25"/>
  <c r="U168" i="25"/>
  <c r="W160" i="25"/>
  <c r="Z160" i="25" s="1"/>
  <c r="AA160" i="25" s="1"/>
  <c r="AD160" i="25"/>
  <c r="AE160" i="25" s="1"/>
  <c r="W152" i="25"/>
  <c r="Z152" i="25" s="1"/>
  <c r="AA152" i="25" s="1"/>
  <c r="AD152" i="25"/>
  <c r="AE152" i="25" s="1"/>
  <c r="W144" i="25"/>
  <c r="Z144" i="25" s="1"/>
  <c r="AA144" i="25" s="1"/>
  <c r="AD144" i="25"/>
  <c r="AE144" i="25" s="1"/>
  <c r="W136" i="25"/>
  <c r="Z136" i="25" s="1"/>
  <c r="AA136" i="25" s="1"/>
  <c r="AD136" i="25"/>
  <c r="AE136" i="25" s="1"/>
  <c r="W128" i="25"/>
  <c r="Z128" i="25" s="1"/>
  <c r="AA128" i="25" s="1"/>
  <c r="AD128" i="25"/>
  <c r="AE128" i="25" s="1"/>
  <c r="AD115" i="25"/>
  <c r="AE115" i="25" s="1"/>
  <c r="W115" i="25"/>
  <c r="Z115" i="25" s="1"/>
  <c r="AA115" i="25" s="1"/>
  <c r="AB115" i="25" s="1"/>
  <c r="V99" i="25"/>
  <c r="U99" i="25"/>
  <c r="V95" i="25"/>
  <c r="U95" i="25"/>
  <c r="AD269" i="25"/>
  <c r="AE269" i="25" s="1"/>
  <c r="W269" i="25"/>
  <c r="Z269" i="25" s="1"/>
  <c r="AA269" i="25" s="1"/>
  <c r="AB269" i="25" s="1"/>
  <c r="V25" i="25"/>
  <c r="U25" i="25"/>
  <c r="AD288" i="25"/>
  <c r="AE288" i="25" s="1"/>
  <c r="W288" i="25"/>
  <c r="Z288" i="25" s="1"/>
  <c r="AA288" i="25" s="1"/>
  <c r="AB288" i="25" s="1"/>
  <c r="AO261" i="25"/>
  <c r="U174" i="25"/>
  <c r="V174" i="25"/>
  <c r="W38" i="25"/>
  <c r="Z38" i="25" s="1"/>
  <c r="AA38" i="25" s="1"/>
  <c r="AB38" i="25" s="1"/>
  <c r="AD38" i="25"/>
  <c r="AE38" i="25" s="1"/>
  <c r="V18" i="25"/>
  <c r="U18" i="25"/>
  <c r="AD224" i="25"/>
  <c r="AE224" i="25" s="1"/>
  <c r="W224" i="25"/>
  <c r="Z224" i="25" s="1"/>
  <c r="AA224" i="25" s="1"/>
  <c r="AB224" i="25" s="1"/>
  <c r="V199" i="25"/>
  <c r="U199" i="25"/>
  <c r="V151" i="25"/>
  <c r="U151" i="25"/>
  <c r="AD73" i="25"/>
  <c r="AE73" i="25" s="1"/>
  <c r="W73" i="25"/>
  <c r="Z73" i="25" s="1"/>
  <c r="AA73" i="25" s="1"/>
  <c r="AB73" i="25" s="1"/>
  <c r="AO146" i="25"/>
  <c r="AO184" i="25"/>
  <c r="AO168" i="25"/>
  <c r="AO152" i="25"/>
  <c r="AO136" i="25"/>
  <c r="V115" i="25"/>
  <c r="U115" i="25"/>
  <c r="AO103" i="25"/>
  <c r="AO99" i="25"/>
  <c r="AO95" i="25"/>
  <c r="AO91" i="25"/>
  <c r="AO269" i="25"/>
  <c r="U218" i="25"/>
  <c r="V218" i="25"/>
  <c r="AD114" i="25"/>
  <c r="AE114" i="25" s="1"/>
  <c r="W114" i="25"/>
  <c r="Z114" i="25" s="1"/>
  <c r="AA114" i="25" s="1"/>
  <c r="AB114" i="25" s="1"/>
  <c r="V114" i="25"/>
  <c r="U114" i="25"/>
  <c r="U125" i="25"/>
  <c r="V125" i="25"/>
  <c r="AD77" i="25"/>
  <c r="AE77" i="25" s="1"/>
  <c r="W77" i="25"/>
  <c r="Z77" i="25" s="1"/>
  <c r="AA77" i="25" s="1"/>
  <c r="AB77" i="25" s="1"/>
  <c r="AD57" i="25"/>
  <c r="AE57" i="25" s="1"/>
  <c r="W57" i="25"/>
  <c r="Z57" i="25" s="1"/>
  <c r="AA57" i="25" s="1"/>
  <c r="AB57" i="25" s="1"/>
  <c r="AD25" i="25"/>
  <c r="AE25" i="25" s="1"/>
  <c r="W25" i="25"/>
  <c r="Z25" i="25" s="1"/>
  <c r="AA25" i="25" s="1"/>
  <c r="AB25" i="25" s="1"/>
  <c r="W10" i="25"/>
  <c r="Z10" i="25" s="1"/>
  <c r="AA10" i="25" s="1"/>
  <c r="AB10" i="25" s="1"/>
  <c r="AD10" i="25"/>
  <c r="AE10" i="25" s="1"/>
  <c r="U10" i="25"/>
  <c r="V10" i="25"/>
  <c r="W6" i="25"/>
  <c r="Z6" i="25" s="1"/>
  <c r="AA6" i="25" s="1"/>
  <c r="AB6" i="25" s="1"/>
  <c r="AD6" i="25"/>
  <c r="AE6" i="25" s="1"/>
  <c r="AD112" i="25"/>
  <c r="AE112" i="25" s="1"/>
  <c r="W112" i="25"/>
  <c r="Z112" i="25" s="1"/>
  <c r="AA112" i="25" s="1"/>
  <c r="AO112" i="25"/>
  <c r="V78" i="25"/>
  <c r="U78" i="25"/>
  <c r="V80" i="25"/>
  <c r="U80" i="25"/>
  <c r="V42" i="25"/>
  <c r="U42" i="25"/>
  <c r="V35" i="25"/>
  <c r="U35" i="25"/>
  <c r="V22" i="25"/>
  <c r="U22" i="25"/>
  <c r="V306" i="25"/>
  <c r="U306" i="25"/>
  <c r="V301" i="25"/>
  <c r="U301" i="25"/>
  <c r="AD305" i="25"/>
  <c r="AE305" i="25" s="1"/>
  <c r="W305" i="25"/>
  <c r="Z305" i="25" s="1"/>
  <c r="AA305" i="25" s="1"/>
  <c r="U281" i="25"/>
  <c r="V281" i="25"/>
  <c r="AD272" i="25"/>
  <c r="AE272" i="25" s="1"/>
  <c r="W272" i="25"/>
  <c r="Z272" i="25" s="1"/>
  <c r="AA272" i="25" s="1"/>
  <c r="AB272" i="25" s="1"/>
  <c r="AO272" i="25"/>
  <c r="AO208" i="25"/>
  <c r="U242" i="25"/>
  <c r="V242" i="25"/>
  <c r="AD203" i="25"/>
  <c r="AE203" i="25" s="1"/>
  <c r="W203" i="25"/>
  <c r="Z203" i="25" s="1"/>
  <c r="AA203" i="25" s="1"/>
  <c r="AB203" i="25" s="1"/>
  <c r="U203" i="25"/>
  <c r="V203" i="25"/>
  <c r="AO209" i="25"/>
  <c r="V139" i="25"/>
  <c r="U139" i="25"/>
  <c r="AO278" i="25"/>
  <c r="U243" i="25"/>
  <c r="V243" i="25"/>
  <c r="AD221" i="25"/>
  <c r="AE221" i="25" s="1"/>
  <c r="W221" i="25"/>
  <c r="Z221" i="25" s="1"/>
  <c r="AA221" i="25" s="1"/>
  <c r="AO221" i="25"/>
  <c r="AO174" i="25"/>
  <c r="AO181" i="25"/>
  <c r="AO149" i="25"/>
  <c r="U231" i="25"/>
  <c r="V231" i="25"/>
  <c r="AD126" i="25"/>
  <c r="AE126" i="25" s="1"/>
  <c r="W126" i="25"/>
  <c r="Z126" i="25" s="1"/>
  <c r="AA126" i="25" s="1"/>
  <c r="AB126" i="25" s="1"/>
  <c r="V126" i="25"/>
  <c r="U126" i="25"/>
  <c r="AO59" i="25"/>
  <c r="AO117" i="25"/>
  <c r="U9" i="25"/>
  <c r="V9" i="25"/>
  <c r="V54" i="25"/>
  <c r="U54" i="25"/>
  <c r="AO53" i="25"/>
  <c r="V315" i="25"/>
  <c r="U315" i="25"/>
  <c r="V300" i="25"/>
  <c r="U300" i="25"/>
  <c r="AD284" i="25"/>
  <c r="AE284" i="25" s="1"/>
  <c r="W284" i="25"/>
  <c r="Z284" i="25" s="1"/>
  <c r="AA284" i="25" s="1"/>
  <c r="AB284" i="25" s="1"/>
  <c r="U284" i="25"/>
  <c r="V284" i="25"/>
  <c r="AD241" i="25"/>
  <c r="AE241" i="25" s="1"/>
  <c r="W241" i="25"/>
  <c r="Z241" i="25" s="1"/>
  <c r="AA241" i="25" s="1"/>
  <c r="AB241" i="25" s="1"/>
  <c r="AD308" i="25"/>
  <c r="AE308" i="25" s="1"/>
  <c r="W308" i="25"/>
  <c r="Z308" i="25" s="1"/>
  <c r="AA308" i="25" s="1"/>
  <c r="AB308" i="25" s="1"/>
  <c r="U224" i="25"/>
  <c r="V224" i="25"/>
  <c r="AD183" i="25"/>
  <c r="AE183" i="25" s="1"/>
  <c r="W183" i="25"/>
  <c r="Z183" i="25" s="1"/>
  <c r="AA183" i="25" s="1"/>
  <c r="AB183" i="25" s="1"/>
  <c r="AD256" i="25"/>
  <c r="AE256" i="25" s="1"/>
  <c r="W256" i="25"/>
  <c r="Z256" i="25" s="1"/>
  <c r="AA256" i="25" s="1"/>
  <c r="AB256" i="25" s="1"/>
  <c r="AO240" i="25"/>
  <c r="U222" i="25"/>
  <c r="V222" i="25"/>
  <c r="AD89" i="25"/>
  <c r="AE89" i="25" s="1"/>
  <c r="W89" i="25"/>
  <c r="Z89" i="25" s="1"/>
  <c r="AA89" i="25" s="1"/>
  <c r="AB89" i="25" s="1"/>
  <c r="AO37" i="25"/>
  <c r="W14" i="25"/>
  <c r="Z14" i="25" s="1"/>
  <c r="AA14" i="25" s="1"/>
  <c r="AB14" i="25" s="1"/>
  <c r="AD14" i="25"/>
  <c r="AE14" i="25" s="1"/>
  <c r="U141" i="25"/>
  <c r="V141" i="25"/>
  <c r="AD98" i="25"/>
  <c r="AE98" i="25" s="1"/>
  <c r="W98" i="25"/>
  <c r="Z98" i="25" s="1"/>
  <c r="AA98" i="25" s="1"/>
  <c r="AB98" i="25" s="1"/>
  <c r="AO124" i="25"/>
  <c r="AO144" i="25"/>
  <c r="AO128" i="25"/>
  <c r="V269" i="25"/>
  <c r="U269" i="25"/>
  <c r="AD226" i="25"/>
  <c r="AE226" i="25" s="1"/>
  <c r="W226" i="25"/>
  <c r="Z226" i="25" s="1"/>
  <c r="AA226" i="25" s="1"/>
  <c r="AO226" i="25"/>
  <c r="AD79" i="25"/>
  <c r="AE79" i="25" s="1"/>
  <c r="W79" i="25"/>
  <c r="Z79" i="25" s="1"/>
  <c r="AA79" i="25" s="1"/>
  <c r="AB79" i="25" s="1"/>
  <c r="AO79" i="25"/>
  <c r="W63" i="25"/>
  <c r="Z63" i="25" s="1"/>
  <c r="AA63" i="25" s="1"/>
  <c r="AB63" i="25" s="1"/>
  <c r="AD63" i="25"/>
  <c r="AE63" i="25" s="1"/>
  <c r="V63" i="25"/>
  <c r="U63" i="25"/>
  <c r="W47" i="25"/>
  <c r="Z47" i="25" s="1"/>
  <c r="AA47" i="25" s="1"/>
  <c r="AB47" i="25" s="1"/>
  <c r="AD47" i="25"/>
  <c r="AE47" i="25" s="1"/>
  <c r="V47" i="25"/>
  <c r="U47" i="25"/>
  <c r="W27" i="25"/>
  <c r="Z27" i="25" s="1"/>
  <c r="AA27" i="25" s="1"/>
  <c r="AB27" i="25" s="1"/>
  <c r="AD27" i="25"/>
  <c r="AE27" i="25" s="1"/>
  <c r="V27" i="25"/>
  <c r="U27" i="25"/>
  <c r="AD125" i="25"/>
  <c r="AE125" i="25" s="1"/>
  <c r="W125" i="25"/>
  <c r="Z125" i="25" s="1"/>
  <c r="AA125" i="25" s="1"/>
  <c r="AO77" i="25"/>
  <c r="AO57" i="25"/>
  <c r="AO25" i="25"/>
  <c r="AO6" i="25"/>
  <c r="V112" i="25"/>
  <c r="U112" i="25"/>
  <c r="W78" i="25"/>
  <c r="Z78" i="25" s="1"/>
  <c r="AA78" i="25" s="1"/>
  <c r="AB78" i="25" s="1"/>
  <c r="AD78" i="25"/>
  <c r="AE78" i="25" s="1"/>
  <c r="W62" i="25"/>
  <c r="Z62" i="25" s="1"/>
  <c r="AA62" i="25" s="1"/>
  <c r="AB62" i="25" s="1"/>
  <c r="AD62" i="25"/>
  <c r="AE62" i="25" s="1"/>
  <c r="W80" i="25"/>
  <c r="Z80" i="25" s="1"/>
  <c r="AA80" i="25" s="1"/>
  <c r="AB80" i="25" s="1"/>
  <c r="AD80" i="25"/>
  <c r="AE80" i="25" s="1"/>
  <c r="W64" i="25"/>
  <c r="Z64" i="25" s="1"/>
  <c r="AA64" i="25" s="1"/>
  <c r="AB64" i="25" s="1"/>
  <c r="AD64" i="25"/>
  <c r="AE64" i="25" s="1"/>
  <c r="W48" i="25"/>
  <c r="Z48" i="25" s="1"/>
  <c r="AA48" i="25" s="1"/>
  <c r="AB48" i="25" s="1"/>
  <c r="AD48" i="25"/>
  <c r="AE48" i="25" s="1"/>
  <c r="V48" i="25"/>
  <c r="U48" i="25"/>
  <c r="AD28" i="25"/>
  <c r="AE28" i="25" s="1"/>
  <c r="W28" i="25"/>
  <c r="Z28" i="25" s="1"/>
  <c r="AA28" i="25" s="1"/>
  <c r="AB28" i="25" s="1"/>
  <c r="W12" i="25"/>
  <c r="Z12" i="25" s="1"/>
  <c r="AA12" i="25" s="1"/>
  <c r="AB12" i="25" s="1"/>
  <c r="AD12" i="25"/>
  <c r="AE12" i="25" s="1"/>
  <c r="AD69" i="25"/>
  <c r="AE69" i="25" s="1"/>
  <c r="W69" i="25"/>
  <c r="Z69" i="25" s="1"/>
  <c r="AA69" i="25" s="1"/>
  <c r="AB69" i="25" s="1"/>
  <c r="AD21" i="25"/>
  <c r="AE21" i="25" s="1"/>
  <c r="W21" i="25"/>
  <c r="Z21" i="25" s="1"/>
  <c r="AA21" i="25" s="1"/>
  <c r="AB21" i="25" s="1"/>
  <c r="W42" i="25"/>
  <c r="Z42" i="25" s="1"/>
  <c r="AA42" i="25" s="1"/>
  <c r="AB42" i="25" s="1"/>
  <c r="AD42" i="25"/>
  <c r="AE42" i="25" s="1"/>
  <c r="W35" i="25"/>
  <c r="Z35" i="25" s="1"/>
  <c r="AA35" i="25" s="1"/>
  <c r="AB35" i="25" s="1"/>
  <c r="AD35" i="25"/>
  <c r="AE35" i="25" s="1"/>
  <c r="AO35" i="25"/>
  <c r="W22" i="25"/>
  <c r="Z22" i="25" s="1"/>
  <c r="AA22" i="25" s="1"/>
  <c r="AB22" i="25" s="1"/>
  <c r="AD22" i="25"/>
  <c r="AE22" i="25" s="1"/>
  <c r="AD306" i="25"/>
  <c r="AE306" i="25" s="1"/>
  <c r="W306" i="25"/>
  <c r="Z306" i="25" s="1"/>
  <c r="AA306" i="25" s="1"/>
  <c r="AB306" i="25" s="1"/>
  <c r="V305" i="25"/>
  <c r="U305" i="25"/>
  <c r="AO305" i="25"/>
  <c r="U288" i="25"/>
  <c r="V288" i="25"/>
  <c r="AD297" i="25"/>
  <c r="AE297" i="25" s="1"/>
  <c r="W297" i="25"/>
  <c r="Z297" i="25" s="1"/>
  <c r="AA297" i="25" s="1"/>
  <c r="AO297" i="25"/>
  <c r="U261" i="25"/>
  <c r="V261" i="25"/>
  <c r="AD245" i="25"/>
  <c r="AE245" i="25" s="1"/>
  <c r="W245" i="25"/>
  <c r="Z245" i="25" s="1"/>
  <c r="AA245" i="25" s="1"/>
  <c r="AO245" i="25"/>
  <c r="V208" i="25"/>
  <c r="U208" i="25"/>
  <c r="U291" i="25"/>
  <c r="V291" i="25"/>
  <c r="AD258" i="25"/>
  <c r="AE258" i="25" s="1"/>
  <c r="W258" i="25"/>
  <c r="Z258" i="25" s="1"/>
  <c r="AA258" i="25" s="1"/>
  <c r="AO258" i="25"/>
  <c r="AD228" i="25"/>
  <c r="AE228" i="25" s="1"/>
  <c r="W228" i="25"/>
  <c r="Z228" i="25" s="1"/>
  <c r="AA228" i="25" s="1"/>
  <c r="AO228" i="25"/>
  <c r="V209" i="25"/>
  <c r="U209" i="25"/>
  <c r="V171" i="25"/>
  <c r="U171" i="25"/>
  <c r="AD259" i="25"/>
  <c r="AE259" i="25" s="1"/>
  <c r="W259" i="25"/>
  <c r="Z259" i="25" s="1"/>
  <c r="AA259" i="25" s="1"/>
  <c r="AO259" i="25"/>
  <c r="AO142" i="25"/>
  <c r="AO189" i="25"/>
  <c r="AO165" i="25"/>
  <c r="AO127" i="25"/>
  <c r="AD295" i="25"/>
  <c r="AE295" i="25" s="1"/>
  <c r="W295" i="25"/>
  <c r="Z295" i="25" s="1"/>
  <c r="AA295" i="25" s="1"/>
  <c r="AO295" i="25"/>
  <c r="V49" i="25"/>
  <c r="U49" i="25"/>
  <c r="AO90" i="25"/>
  <c r="V60" i="25"/>
  <c r="U60" i="25"/>
  <c r="AO60" i="25"/>
  <c r="V24" i="25"/>
  <c r="U24" i="25"/>
  <c r="AO24" i="25"/>
  <c r="AO38" i="25"/>
  <c r="AO304" i="25"/>
  <c r="AO315" i="25"/>
  <c r="AO257" i="25"/>
  <c r="U206" i="25"/>
  <c r="V206" i="25"/>
  <c r="W274" i="25"/>
  <c r="Z274" i="25" s="1"/>
  <c r="AA274" i="25" s="1"/>
  <c r="AB274" i="25" s="1"/>
  <c r="AD274" i="25"/>
  <c r="AE274" i="25" s="1"/>
  <c r="U232" i="25"/>
  <c r="V232" i="25"/>
  <c r="V39" i="25"/>
  <c r="U39" i="25"/>
  <c r="V70" i="25"/>
  <c r="U70" i="25"/>
  <c r="W40" i="25"/>
  <c r="Z40" i="25" s="1"/>
  <c r="AA40" i="25" s="1"/>
  <c r="AB40" i="25" s="1"/>
  <c r="AD40" i="25"/>
  <c r="AE40" i="25" s="1"/>
  <c r="AD158" i="25"/>
  <c r="AE158" i="25" s="1"/>
  <c r="W158" i="25"/>
  <c r="Z158" i="25" s="1"/>
  <c r="AA158" i="25" s="1"/>
  <c r="AB158" i="25" s="1"/>
  <c r="AD157" i="25"/>
  <c r="AE157" i="25" s="1"/>
  <c r="W157" i="25"/>
  <c r="Z157" i="25" s="1"/>
  <c r="AA157" i="25" s="1"/>
  <c r="AB157" i="25" s="1"/>
  <c r="V43" i="25"/>
  <c r="U43" i="25"/>
  <c r="W44" i="25"/>
  <c r="Z44" i="25" s="1"/>
  <c r="AA44" i="25" s="1"/>
  <c r="AB44" i="25" s="1"/>
  <c r="AD44" i="25"/>
  <c r="AE44" i="25" s="1"/>
  <c r="U226" i="25"/>
  <c r="V226" i="25"/>
  <c r="AD218" i="25"/>
  <c r="AE218" i="25" s="1"/>
  <c r="W218" i="25"/>
  <c r="Z218" i="25" s="1"/>
  <c r="AA218" i="25" s="1"/>
  <c r="AO218" i="25"/>
  <c r="AO114" i="25"/>
  <c r="V79" i="25"/>
  <c r="U79" i="25"/>
  <c r="AO47" i="25"/>
  <c r="AO27" i="25"/>
  <c r="AO125" i="25"/>
  <c r="AO10" i="25"/>
  <c r="U6" i="25"/>
  <c r="V6" i="25"/>
  <c r="AO78" i="25"/>
  <c r="AO62" i="25"/>
  <c r="AO80" i="25"/>
  <c r="AO64" i="25"/>
  <c r="AO48" i="25"/>
  <c r="V28" i="25"/>
  <c r="U28" i="25"/>
  <c r="AO28" i="25"/>
  <c r="V12" i="25"/>
  <c r="U12" i="25"/>
  <c r="AO12" i="25"/>
  <c r="AO69" i="25"/>
  <c r="V69" i="25"/>
  <c r="U69" i="25"/>
  <c r="AO21" i="25"/>
  <c r="V21" i="25"/>
  <c r="U21" i="25"/>
  <c r="AO42" i="25"/>
  <c r="AO22" i="25"/>
  <c r="AO306" i="25"/>
  <c r="AD301" i="25"/>
  <c r="AE301" i="25" s="1"/>
  <c r="W301" i="25"/>
  <c r="Z301" i="25" s="1"/>
  <c r="AA301" i="25" s="1"/>
  <c r="AO301" i="25"/>
  <c r="U297" i="25"/>
  <c r="V297" i="25"/>
  <c r="AD281" i="25"/>
  <c r="AE281" i="25" s="1"/>
  <c r="W281" i="25"/>
  <c r="Z281" i="25" s="1"/>
  <c r="AA281" i="25" s="1"/>
  <c r="AO281" i="25"/>
  <c r="U245" i="25"/>
  <c r="V245" i="25"/>
  <c r="AD208" i="25"/>
  <c r="AE208" i="25" s="1"/>
  <c r="W208" i="25"/>
  <c r="Z208" i="25" s="1"/>
  <c r="AA208" i="25" s="1"/>
  <c r="U258" i="25"/>
  <c r="V258" i="25"/>
  <c r="AD242" i="25"/>
  <c r="AE242" i="25" s="1"/>
  <c r="W242" i="25"/>
  <c r="Z242" i="25" s="1"/>
  <c r="AA242" i="25" s="1"/>
  <c r="AO242" i="25"/>
  <c r="AO203" i="25"/>
  <c r="U228" i="25"/>
  <c r="V228" i="25"/>
  <c r="W209" i="25"/>
  <c r="Z209" i="25" s="1"/>
  <c r="AA209" i="25" s="1"/>
  <c r="AB209" i="25" s="1"/>
  <c r="AD209" i="25"/>
  <c r="AE209" i="25" s="1"/>
  <c r="AO171" i="25"/>
  <c r="AD139" i="25"/>
  <c r="AE139" i="25" s="1"/>
  <c r="W139" i="25"/>
  <c r="Z139" i="25" s="1"/>
  <c r="AA139" i="25" s="1"/>
  <c r="U259" i="25"/>
  <c r="V259" i="25"/>
  <c r="AD243" i="25"/>
  <c r="AE243" i="25" s="1"/>
  <c r="W243" i="25"/>
  <c r="Z243" i="25" s="1"/>
  <c r="AA243" i="25" s="1"/>
  <c r="AO243" i="25"/>
  <c r="AD142" i="25"/>
  <c r="AE142" i="25" s="1"/>
  <c r="W142" i="25"/>
  <c r="Z142" i="25" s="1"/>
  <c r="AA142" i="25" s="1"/>
  <c r="AB142" i="25" s="1"/>
  <c r="U142" i="25"/>
  <c r="V142" i="25"/>
  <c r="U189" i="25"/>
  <c r="V189" i="25"/>
  <c r="AD181" i="25"/>
  <c r="AE181" i="25" s="1"/>
  <c r="W181" i="25"/>
  <c r="Z181" i="25" s="1"/>
  <c r="AA181" i="25" s="1"/>
  <c r="U165" i="25"/>
  <c r="V165" i="25"/>
  <c r="AD149" i="25"/>
  <c r="AE149" i="25" s="1"/>
  <c r="W149" i="25"/>
  <c r="Z149" i="25" s="1"/>
  <c r="AA149" i="25" s="1"/>
  <c r="V127" i="25"/>
  <c r="U127" i="25"/>
  <c r="AD102" i="25"/>
  <c r="AE102" i="25" s="1"/>
  <c r="W102" i="25"/>
  <c r="Z102" i="25" s="1"/>
  <c r="AA102" i="25" s="1"/>
  <c r="AB102" i="25" s="1"/>
  <c r="AO102" i="25"/>
  <c r="AD94" i="25"/>
  <c r="AE94" i="25" s="1"/>
  <c r="W94" i="25"/>
  <c r="Z94" i="25" s="1"/>
  <c r="AA94" i="25" s="1"/>
  <c r="AB94" i="25" s="1"/>
  <c r="AO94" i="25"/>
  <c r="AD231" i="25"/>
  <c r="AE231" i="25" s="1"/>
  <c r="W231" i="25"/>
  <c r="Z231" i="25" s="1"/>
  <c r="AA231" i="25" s="1"/>
  <c r="AO231" i="25"/>
  <c r="AO126" i="25"/>
  <c r="U295" i="25"/>
  <c r="V295" i="25"/>
  <c r="W59" i="25"/>
  <c r="Z59" i="25" s="1"/>
  <c r="AA59" i="25" s="1"/>
  <c r="AB59" i="25" s="1"/>
  <c r="AD59" i="25"/>
  <c r="AE59" i="25" s="1"/>
  <c r="V59" i="25"/>
  <c r="U59" i="25"/>
  <c r="AD117" i="25"/>
  <c r="AE117" i="25" s="1"/>
  <c r="W117" i="25"/>
  <c r="Z117" i="25" s="1"/>
  <c r="AA117" i="25" s="1"/>
  <c r="AO49" i="25"/>
  <c r="AO9" i="25"/>
  <c r="V90" i="25"/>
  <c r="U90" i="25"/>
  <c r="AO54" i="25"/>
  <c r="AD53" i="25"/>
  <c r="AE53" i="25" s="1"/>
  <c r="W53" i="25"/>
  <c r="Z53" i="25" s="1"/>
  <c r="AA53" i="25" s="1"/>
  <c r="AB53" i="25" s="1"/>
  <c r="V53" i="25"/>
  <c r="U53" i="25"/>
  <c r="W18" i="25"/>
  <c r="Z18" i="25" s="1"/>
  <c r="AA18" i="25" s="1"/>
  <c r="AB18" i="25" s="1"/>
  <c r="AD18" i="25"/>
  <c r="AE18" i="25" s="1"/>
  <c r="AO18" i="25"/>
  <c r="U293" i="25"/>
  <c r="V293" i="25"/>
  <c r="AO279" i="25"/>
  <c r="AD283" i="25"/>
  <c r="AE283" i="25" s="1"/>
  <c r="W283" i="25"/>
  <c r="Z283" i="25" s="1"/>
  <c r="AA283" i="25" s="1"/>
  <c r="AB283" i="25" s="1"/>
  <c r="AD254" i="25"/>
  <c r="AE254" i="25" s="1"/>
  <c r="W254" i="25"/>
  <c r="Z254" i="25" s="1"/>
  <c r="AA254" i="25" s="1"/>
  <c r="AB254" i="25" s="1"/>
  <c r="AO154" i="25"/>
  <c r="V156" i="25"/>
  <c r="U156" i="25"/>
  <c r="AD87" i="25"/>
  <c r="AE87" i="25" s="1"/>
  <c r="W87" i="25"/>
  <c r="Z87" i="25" s="1"/>
  <c r="AA87" i="25" s="1"/>
  <c r="AB87" i="25" s="1"/>
  <c r="AD19" i="25"/>
  <c r="AE19" i="25" s="1"/>
  <c r="W19" i="25"/>
  <c r="Z19" i="25" s="1"/>
  <c r="AA19" i="25" s="1"/>
  <c r="AB19" i="25" s="1"/>
  <c r="W50" i="25"/>
  <c r="Z50" i="25" s="1"/>
  <c r="AA50" i="25" s="1"/>
  <c r="AB50" i="25" s="1"/>
  <c r="AD50" i="25"/>
  <c r="AE50" i="25" s="1"/>
  <c r="AD251" i="25"/>
  <c r="AE251" i="25" s="1"/>
  <c r="W251" i="25"/>
  <c r="Z251" i="25" s="1"/>
  <c r="AA251" i="25" s="1"/>
  <c r="AB251" i="25" s="1"/>
  <c r="U235" i="25"/>
  <c r="V235" i="25"/>
  <c r="W74" i="25"/>
  <c r="Z74" i="25" s="1"/>
  <c r="AA74" i="25" s="1"/>
  <c r="AB74" i="25" s="1"/>
  <c r="AD74" i="25"/>
  <c r="AE74" i="25" s="1"/>
  <c r="V34" i="25"/>
  <c r="U34" i="25"/>
  <c r="AD304" i="25"/>
  <c r="AE304" i="25" s="1"/>
  <c r="W304" i="25"/>
  <c r="Z304" i="25" s="1"/>
  <c r="AA304" i="25" s="1"/>
  <c r="AD315" i="25"/>
  <c r="AE315" i="25" s="1"/>
  <c r="W315" i="25"/>
  <c r="Z315" i="25" s="1"/>
  <c r="AA315" i="25" s="1"/>
  <c r="AB315" i="25" s="1"/>
  <c r="AO300" i="25"/>
  <c r="AO309" i="25"/>
  <c r="AO241" i="25"/>
  <c r="V204" i="25"/>
  <c r="U204" i="25"/>
  <c r="AO254" i="25"/>
  <c r="AO224" i="25"/>
  <c r="AD206" i="25"/>
  <c r="AE206" i="25" s="1"/>
  <c r="W206" i="25"/>
  <c r="Z206" i="25" s="1"/>
  <c r="AA206" i="25" s="1"/>
  <c r="AD167" i="25"/>
  <c r="AE167" i="25" s="1"/>
  <c r="W167" i="25"/>
  <c r="Z167" i="25" s="1"/>
  <c r="AA167" i="25" s="1"/>
  <c r="AB167" i="25" s="1"/>
  <c r="V135" i="25"/>
  <c r="U135" i="25"/>
  <c r="V274" i="25"/>
  <c r="U274" i="25"/>
  <c r="AO256" i="25"/>
  <c r="U248" i="25"/>
  <c r="V248" i="25"/>
  <c r="AO170" i="25"/>
  <c r="V180" i="25"/>
  <c r="U180" i="25"/>
  <c r="V148" i="25"/>
  <c r="U148" i="25"/>
  <c r="V123" i="25"/>
  <c r="U123" i="25"/>
  <c r="AO230" i="25"/>
  <c r="V122" i="25"/>
  <c r="U122" i="25"/>
  <c r="AO87" i="25"/>
  <c r="U113" i="25"/>
  <c r="V113" i="25"/>
  <c r="AD33" i="25"/>
  <c r="AE33" i="25" s="1"/>
  <c r="W33" i="25"/>
  <c r="Z33" i="25" s="1"/>
  <c r="AA33" i="25" s="1"/>
  <c r="AB33" i="25" s="1"/>
  <c r="AD120" i="25"/>
  <c r="AE120" i="25" s="1"/>
  <c r="W120" i="25"/>
  <c r="Z120" i="25" s="1"/>
  <c r="AA120" i="25" s="1"/>
  <c r="AB120" i="25" s="1"/>
  <c r="W70" i="25"/>
  <c r="Z70" i="25" s="1"/>
  <c r="AA70" i="25" s="1"/>
  <c r="AB70" i="25" s="1"/>
  <c r="AD70" i="25"/>
  <c r="AE70" i="25" s="1"/>
  <c r="AD72" i="25"/>
  <c r="AE72" i="25" s="1"/>
  <c r="W72" i="25"/>
  <c r="Z72" i="25" s="1"/>
  <c r="AA72" i="25" s="1"/>
  <c r="AB72" i="25" s="1"/>
  <c r="V37" i="25"/>
  <c r="U37" i="25"/>
  <c r="V30" i="25"/>
  <c r="U30" i="25"/>
  <c r="AO14" i="25"/>
  <c r="V187" i="25"/>
  <c r="U187" i="25"/>
  <c r="V155" i="25"/>
  <c r="U155" i="25"/>
  <c r="AO251" i="25"/>
  <c r="U190" i="25"/>
  <c r="V190" i="25"/>
  <c r="U197" i="25"/>
  <c r="V197" i="25"/>
  <c r="AD141" i="25"/>
  <c r="AE141" i="25" s="1"/>
  <c r="W141" i="25"/>
  <c r="Z141" i="25" s="1"/>
  <c r="AA141" i="25" s="1"/>
  <c r="U133" i="25"/>
  <c r="V133" i="25"/>
  <c r="AO111" i="25"/>
  <c r="AO75" i="25"/>
  <c r="W23" i="25"/>
  <c r="Z23" i="25" s="1"/>
  <c r="AA23" i="25" s="1"/>
  <c r="AB23" i="25" s="1"/>
  <c r="AD23" i="25"/>
  <c r="AE23" i="25" s="1"/>
  <c r="U121" i="25"/>
  <c r="V121" i="25"/>
  <c r="W34" i="25"/>
  <c r="Z34" i="25" s="1"/>
  <c r="AA34" i="25" s="1"/>
  <c r="AB34" i="25" s="1"/>
  <c r="AD34" i="25"/>
  <c r="AE34" i="25" s="1"/>
  <c r="AO284" i="25"/>
  <c r="AD293" i="25"/>
  <c r="AE293" i="25" s="1"/>
  <c r="W293" i="25"/>
  <c r="Z293" i="25" s="1"/>
  <c r="AA293" i="25" s="1"/>
  <c r="AO293" i="25"/>
  <c r="W279" i="25"/>
  <c r="Z279" i="25" s="1"/>
  <c r="AA279" i="25" s="1"/>
  <c r="AB279" i="25" s="1"/>
  <c r="AD279" i="25"/>
  <c r="AE279" i="25" s="1"/>
  <c r="AO294" i="25"/>
  <c r="AD257" i="25"/>
  <c r="AE257" i="25" s="1"/>
  <c r="W257" i="25"/>
  <c r="Z257" i="25" s="1"/>
  <c r="AA257" i="25" s="1"/>
  <c r="AB257" i="25" s="1"/>
  <c r="U257" i="25"/>
  <c r="V257" i="25"/>
  <c r="AO204" i="25"/>
  <c r="U283" i="25"/>
  <c r="V283" i="25"/>
  <c r="U238" i="25"/>
  <c r="V238" i="25"/>
  <c r="V308" i="25"/>
  <c r="U308" i="25"/>
  <c r="V167" i="25"/>
  <c r="U167" i="25"/>
  <c r="AD135" i="25"/>
  <c r="AE135" i="25" s="1"/>
  <c r="W135" i="25"/>
  <c r="Z135" i="25" s="1"/>
  <c r="AA135" i="25" s="1"/>
  <c r="AB135" i="25" s="1"/>
  <c r="AD240" i="25"/>
  <c r="AE240" i="25" s="1"/>
  <c r="W240" i="25"/>
  <c r="Z240" i="25" s="1"/>
  <c r="AA240" i="25" s="1"/>
  <c r="AB240" i="25" s="1"/>
  <c r="AO138" i="25"/>
  <c r="V196" i="25"/>
  <c r="U196" i="25"/>
  <c r="V164" i="25"/>
  <c r="U164" i="25"/>
  <c r="V132" i="25"/>
  <c r="U132" i="25"/>
  <c r="AO105" i="25"/>
  <c r="AO101" i="25"/>
  <c r="AO97" i="25"/>
  <c r="AO93" i="25"/>
  <c r="AO277" i="25"/>
  <c r="AD230" i="25"/>
  <c r="AE230" i="25" s="1"/>
  <c r="W230" i="25"/>
  <c r="Z230" i="25" s="1"/>
  <c r="AA230" i="25" s="1"/>
  <c r="AB230" i="25" s="1"/>
  <c r="AD71" i="25"/>
  <c r="AE71" i="25" s="1"/>
  <c r="W71" i="25"/>
  <c r="Z71" i="25" s="1"/>
  <c r="AA71" i="25" s="1"/>
  <c r="AB71" i="25" s="1"/>
  <c r="V55" i="25"/>
  <c r="U55" i="25"/>
  <c r="V19" i="25"/>
  <c r="U19" i="25"/>
  <c r="AD65" i="25"/>
  <c r="AE65" i="25" s="1"/>
  <c r="W65" i="25"/>
  <c r="Z65" i="25" s="1"/>
  <c r="AA65" i="25" s="1"/>
  <c r="AB65" i="25" s="1"/>
  <c r="AD13" i="25"/>
  <c r="AE13" i="25" s="1"/>
  <c r="W13" i="25"/>
  <c r="Z13" i="25" s="1"/>
  <c r="AA13" i="25" s="1"/>
  <c r="AB13" i="25" s="1"/>
  <c r="AO120" i="25"/>
  <c r="W86" i="25"/>
  <c r="Z86" i="25" s="1"/>
  <c r="AA86" i="25" s="1"/>
  <c r="AB86" i="25" s="1"/>
  <c r="AD86" i="25"/>
  <c r="AE86" i="25" s="1"/>
  <c r="W88" i="25"/>
  <c r="Z88" i="25" s="1"/>
  <c r="AA88" i="25" s="1"/>
  <c r="AB88" i="25" s="1"/>
  <c r="AD88" i="25"/>
  <c r="AE88" i="25" s="1"/>
  <c r="W56" i="25"/>
  <c r="Z56" i="25" s="1"/>
  <c r="AA56" i="25" s="1"/>
  <c r="AB56" i="25" s="1"/>
  <c r="AD56" i="25"/>
  <c r="AE56" i="25" s="1"/>
  <c r="V50" i="25"/>
  <c r="U50" i="25"/>
  <c r="AD316" i="25"/>
  <c r="AE316" i="25" s="1"/>
  <c r="W316" i="25"/>
  <c r="Z316" i="25" s="1"/>
  <c r="AA316" i="25" s="1"/>
  <c r="AB316" i="25" s="1"/>
  <c r="AO201" i="25"/>
  <c r="U158" i="25"/>
  <c r="V158" i="25"/>
  <c r="AD173" i="25"/>
  <c r="AE173" i="25" s="1"/>
  <c r="W173" i="25"/>
  <c r="Z173" i="25" s="1"/>
  <c r="AA173" i="25" s="1"/>
  <c r="AB173" i="25" s="1"/>
  <c r="U157" i="25"/>
  <c r="V157" i="25"/>
  <c r="AD111" i="25"/>
  <c r="AE111" i="25" s="1"/>
  <c r="W111" i="25"/>
  <c r="Z111" i="25" s="1"/>
  <c r="AA111" i="25" s="1"/>
  <c r="AB111" i="25" s="1"/>
  <c r="AO290" i="25"/>
  <c r="W43" i="25"/>
  <c r="Z43" i="25" s="1"/>
  <c r="AA43" i="25" s="1"/>
  <c r="AB43" i="25" s="1"/>
  <c r="AD43" i="25"/>
  <c r="AE43" i="25" s="1"/>
  <c r="AO23" i="25"/>
  <c r="AO73" i="25"/>
  <c r="AD17" i="25"/>
  <c r="AE17" i="25" s="1"/>
  <c r="W17" i="25"/>
  <c r="Z17" i="25" s="1"/>
  <c r="AA17" i="25" s="1"/>
  <c r="AB17" i="25" s="1"/>
  <c r="V124" i="25"/>
  <c r="U124" i="25"/>
  <c r="V44" i="25"/>
  <c r="U44" i="25"/>
  <c r="W58" i="25"/>
  <c r="Z58" i="25" s="1"/>
  <c r="AA58" i="25" s="1"/>
  <c r="AB58" i="25" s="1"/>
  <c r="AD58" i="25"/>
  <c r="AE58" i="25" s="1"/>
  <c r="AO34" i="25"/>
  <c r="AD294" i="25"/>
  <c r="AE294" i="25" s="1"/>
  <c r="W294" i="25"/>
  <c r="Z294" i="25" s="1"/>
  <c r="AA294" i="25" s="1"/>
  <c r="U294" i="25"/>
  <c r="V294" i="25"/>
  <c r="AD199" i="25"/>
  <c r="AE199" i="25" s="1"/>
  <c r="W199" i="25"/>
  <c r="Z199" i="25" s="1"/>
  <c r="AA199" i="25" s="1"/>
  <c r="AB199" i="25" s="1"/>
  <c r="V183" i="25"/>
  <c r="U183" i="25"/>
  <c r="AD151" i="25"/>
  <c r="AE151" i="25" s="1"/>
  <c r="W151" i="25"/>
  <c r="Z151" i="25" s="1"/>
  <c r="AA151" i="25" s="1"/>
  <c r="AB151" i="25" s="1"/>
  <c r="U264" i="25"/>
  <c r="V264" i="25"/>
  <c r="AD217" i="25"/>
  <c r="AE217" i="25" s="1"/>
  <c r="W217" i="25"/>
  <c r="Z217" i="25" s="1"/>
  <c r="AA217" i="25" s="1"/>
  <c r="AB217" i="25" s="1"/>
  <c r="AO186" i="25"/>
  <c r="V172" i="25"/>
  <c r="U172" i="25"/>
  <c r="V140" i="25"/>
  <c r="U140" i="25"/>
  <c r="V277" i="25"/>
  <c r="U277" i="25"/>
  <c r="AD122" i="25"/>
  <c r="AE122" i="25" s="1"/>
  <c r="W122" i="25"/>
  <c r="Z122" i="25" s="1"/>
  <c r="AA122" i="25" s="1"/>
  <c r="AD39" i="25"/>
  <c r="AE39" i="25" s="1"/>
  <c r="W39" i="25"/>
  <c r="Z39" i="25" s="1"/>
  <c r="AA39" i="25" s="1"/>
  <c r="AB39" i="25" s="1"/>
  <c r="AD113" i="25"/>
  <c r="AE113" i="25" s="1"/>
  <c r="W113" i="25"/>
  <c r="Z113" i="25" s="1"/>
  <c r="AA113" i="25" s="1"/>
  <c r="AB113" i="25" s="1"/>
  <c r="AO13" i="25"/>
  <c r="W8" i="25"/>
  <c r="Z8" i="25" s="1"/>
  <c r="AA8" i="25" s="1"/>
  <c r="AB8" i="25" s="1"/>
  <c r="AD8" i="25"/>
  <c r="AE8" i="25" s="1"/>
  <c r="U8" i="25"/>
  <c r="V8" i="25"/>
  <c r="V120" i="25"/>
  <c r="U120" i="25"/>
  <c r="V86" i="25"/>
  <c r="U86" i="25"/>
  <c r="V88" i="25"/>
  <c r="U88" i="25"/>
  <c r="W20" i="25"/>
  <c r="Z20" i="25" s="1"/>
  <c r="AA20" i="25" s="1"/>
  <c r="AB20" i="25" s="1"/>
  <c r="AD20" i="25"/>
  <c r="AE20" i="25" s="1"/>
  <c r="AD45" i="25"/>
  <c r="AE45" i="25" s="1"/>
  <c r="W45" i="25"/>
  <c r="Z45" i="25" s="1"/>
  <c r="AA45" i="25" s="1"/>
  <c r="AB45" i="25" s="1"/>
  <c r="W37" i="25"/>
  <c r="Z37" i="25" s="1"/>
  <c r="AA37" i="25" s="1"/>
  <c r="AB37" i="25" s="1"/>
  <c r="AD37" i="25"/>
  <c r="AE37" i="25" s="1"/>
  <c r="W30" i="25"/>
  <c r="Z30" i="25" s="1"/>
  <c r="AA30" i="25" s="1"/>
  <c r="AB30" i="25" s="1"/>
  <c r="AD30" i="25"/>
  <c r="AE30" i="25" s="1"/>
  <c r="V201" i="25"/>
  <c r="U201" i="25"/>
  <c r="U267" i="25"/>
  <c r="V267" i="25"/>
  <c r="AD190" i="25"/>
  <c r="AE190" i="25" s="1"/>
  <c r="W190" i="25"/>
  <c r="Z190" i="25" s="1"/>
  <c r="AA190" i="25" s="1"/>
  <c r="AD197" i="25"/>
  <c r="AE197" i="25" s="1"/>
  <c r="W197" i="25"/>
  <c r="Z197" i="25" s="1"/>
  <c r="AA197" i="25" s="1"/>
  <c r="U173" i="25"/>
  <c r="V173" i="25"/>
  <c r="AD133" i="25"/>
  <c r="AE133" i="25" s="1"/>
  <c r="W133" i="25"/>
  <c r="Z133" i="25" s="1"/>
  <c r="AA133" i="25" s="1"/>
  <c r="AD290" i="25"/>
  <c r="AE290" i="25" s="1"/>
  <c r="W290" i="25"/>
  <c r="Z290" i="25" s="1"/>
  <c r="AA290" i="25" s="1"/>
  <c r="U223" i="25"/>
  <c r="V223" i="25"/>
  <c r="AO17" i="25"/>
  <c r="AD124" i="25"/>
  <c r="AE124" i="25" s="1"/>
  <c r="W124" i="25"/>
  <c r="Z124" i="25" s="1"/>
  <c r="AA124" i="25" s="1"/>
  <c r="AB124" i="25" s="1"/>
  <c r="V74" i="25"/>
  <c r="U74" i="25"/>
  <c r="W76" i="25"/>
  <c r="Z76" i="25" s="1"/>
  <c r="AA76" i="25" s="1"/>
  <c r="AB76" i="25" s="1"/>
  <c r="AD76" i="25"/>
  <c r="AE76" i="25" s="1"/>
  <c r="AD121" i="25"/>
  <c r="AE121" i="25" s="1"/>
  <c r="W121" i="25"/>
  <c r="Z121" i="25" s="1"/>
  <c r="AA121" i="25" s="1"/>
  <c r="AB121" i="25" s="1"/>
  <c r="V58" i="25"/>
  <c r="U58" i="25"/>
  <c r="V38" i="25"/>
  <c r="U38" i="25"/>
  <c r="AD300" i="25"/>
  <c r="AE300" i="25" s="1"/>
  <c r="W300" i="25"/>
  <c r="Z300" i="25" s="1"/>
  <c r="AA300" i="25" s="1"/>
  <c r="V279" i="25"/>
  <c r="U279" i="25"/>
  <c r="W309" i="25"/>
  <c r="Z309" i="25" s="1"/>
  <c r="AA309" i="25" s="1"/>
  <c r="AD309" i="25"/>
  <c r="AE309" i="25" s="1"/>
  <c r="V309" i="25"/>
  <c r="U309" i="25"/>
  <c r="U241" i="25"/>
  <c r="V241" i="25"/>
  <c r="AD204" i="25"/>
  <c r="AE204" i="25" s="1"/>
  <c r="W204" i="25"/>
  <c r="Z204" i="25" s="1"/>
  <c r="AA204" i="25" s="1"/>
  <c r="U254" i="25"/>
  <c r="V254" i="25"/>
  <c r="AD238" i="25"/>
  <c r="AE238" i="25" s="1"/>
  <c r="W238" i="25"/>
  <c r="Z238" i="25" s="1"/>
  <c r="AA238" i="25" s="1"/>
  <c r="AO238" i="25"/>
  <c r="AO308" i="25"/>
  <c r="AO206" i="25"/>
  <c r="AO183" i="25"/>
  <c r="AO151" i="25"/>
  <c r="AD264" i="25"/>
  <c r="AE264" i="25" s="1"/>
  <c r="W264" i="25"/>
  <c r="Z264" i="25" s="1"/>
  <c r="AA264" i="25" s="1"/>
  <c r="AO264" i="25"/>
  <c r="U240" i="25"/>
  <c r="V240" i="25"/>
  <c r="AD232" i="25"/>
  <c r="AE232" i="25" s="1"/>
  <c r="W232" i="25"/>
  <c r="Z232" i="25" s="1"/>
  <c r="AA232" i="25" s="1"/>
  <c r="AO232" i="25"/>
  <c r="AD170" i="25"/>
  <c r="AE170" i="25" s="1"/>
  <c r="W170" i="25"/>
  <c r="Z170" i="25" s="1"/>
  <c r="AA170" i="25" s="1"/>
  <c r="AB170" i="25" s="1"/>
  <c r="U170" i="25"/>
  <c r="V170" i="25"/>
  <c r="AD138" i="25"/>
  <c r="AE138" i="25" s="1"/>
  <c r="W138" i="25"/>
  <c r="Z138" i="25" s="1"/>
  <c r="AA138" i="25" s="1"/>
  <c r="AB138" i="25" s="1"/>
  <c r="U138" i="25"/>
  <c r="V138" i="25"/>
  <c r="AO196" i="25"/>
  <c r="W188" i="25"/>
  <c r="Z188" i="25" s="1"/>
  <c r="AA188" i="25" s="1"/>
  <c r="AB188" i="25" s="1"/>
  <c r="AD188" i="25"/>
  <c r="AE188" i="25" s="1"/>
  <c r="AO180" i="25"/>
  <c r="W172" i="25"/>
  <c r="Z172" i="25" s="1"/>
  <c r="AA172" i="25" s="1"/>
  <c r="AB172" i="25" s="1"/>
  <c r="AD172" i="25"/>
  <c r="AE172" i="25" s="1"/>
  <c r="AO164" i="25"/>
  <c r="W156" i="25"/>
  <c r="Z156" i="25" s="1"/>
  <c r="AA156" i="25" s="1"/>
  <c r="AB156" i="25" s="1"/>
  <c r="AD156" i="25"/>
  <c r="AE156" i="25" s="1"/>
  <c r="AO148" i="25"/>
  <c r="W140" i="25"/>
  <c r="Z140" i="25" s="1"/>
  <c r="AA140" i="25" s="1"/>
  <c r="AB140" i="25" s="1"/>
  <c r="AD140" i="25"/>
  <c r="AE140" i="25" s="1"/>
  <c r="AO132" i="25"/>
  <c r="AD123" i="25"/>
  <c r="AE123" i="25" s="1"/>
  <c r="W123" i="25"/>
  <c r="Z123" i="25" s="1"/>
  <c r="AA123" i="25" s="1"/>
  <c r="AO123" i="25"/>
  <c r="U230" i="25"/>
  <c r="V230" i="25"/>
  <c r="AD222" i="25"/>
  <c r="AE222" i="25" s="1"/>
  <c r="W222" i="25"/>
  <c r="Z222" i="25" s="1"/>
  <c r="AA222" i="25" s="1"/>
  <c r="AO222" i="25"/>
  <c r="AO122" i="25"/>
  <c r="V87" i="25"/>
  <c r="U87" i="25"/>
  <c r="V71" i="25"/>
  <c r="U71" i="25"/>
  <c r="AO55" i="25"/>
  <c r="AO39" i="25"/>
  <c r="AO19" i="25"/>
  <c r="AO113" i="25"/>
  <c r="AO65" i="25"/>
  <c r="AO33" i="25"/>
  <c r="AO8" i="25"/>
  <c r="AO86" i="25"/>
  <c r="AO70" i="25"/>
  <c r="AO88" i="25"/>
  <c r="AO72" i="25"/>
  <c r="AO56" i="25"/>
  <c r="V40" i="25"/>
  <c r="U40" i="25"/>
  <c r="AO40" i="25"/>
  <c r="V20" i="25"/>
  <c r="U20" i="25"/>
  <c r="AO20" i="25"/>
  <c r="AO89" i="25"/>
  <c r="V89" i="25"/>
  <c r="U89" i="25"/>
  <c r="AO45" i="25"/>
  <c r="V45" i="25"/>
  <c r="U45" i="25"/>
  <c r="AO50" i="25"/>
  <c r="AO30" i="25"/>
  <c r="V14" i="25"/>
  <c r="U14" i="25"/>
  <c r="V316" i="25"/>
  <c r="U316" i="25"/>
  <c r="W201" i="25"/>
  <c r="Z201" i="25" s="1"/>
  <c r="AA201" i="25" s="1"/>
  <c r="AB201" i="25" s="1"/>
  <c r="AD201" i="25"/>
  <c r="AE201" i="25" s="1"/>
  <c r="AO187" i="25"/>
  <c r="AD155" i="25"/>
  <c r="AE155" i="25" s="1"/>
  <c r="W155" i="25"/>
  <c r="Z155" i="25" s="1"/>
  <c r="AA155" i="25" s="1"/>
  <c r="U251" i="25"/>
  <c r="V251" i="25"/>
  <c r="AD235" i="25"/>
  <c r="AE235" i="25" s="1"/>
  <c r="W235" i="25"/>
  <c r="Z235" i="25" s="1"/>
  <c r="AA235" i="25" s="1"/>
  <c r="AO235" i="25"/>
  <c r="AO190" i="25"/>
  <c r="AO173" i="25"/>
  <c r="AO141" i="25"/>
  <c r="V111" i="25"/>
  <c r="U111" i="25"/>
  <c r="V98" i="25"/>
  <c r="U98" i="25"/>
  <c r="V75" i="25"/>
  <c r="U75" i="25"/>
  <c r="V23" i="25"/>
  <c r="U23" i="25"/>
  <c r="V73" i="25"/>
  <c r="U73" i="25"/>
  <c r="V17" i="25"/>
  <c r="U17" i="25"/>
  <c r="V76" i="25"/>
  <c r="U76" i="25"/>
  <c r="AO58" i="25"/>
  <c r="AO199" i="25"/>
  <c r="AO167" i="25"/>
  <c r="AO135" i="25"/>
  <c r="AO274" i="25"/>
  <c r="U256" i="25"/>
  <c r="V256" i="25"/>
  <c r="AD248" i="25"/>
  <c r="AE248" i="25" s="1"/>
  <c r="W248" i="25"/>
  <c r="Z248" i="25" s="1"/>
  <c r="AA248" i="25" s="1"/>
  <c r="AO248" i="25"/>
  <c r="U217" i="25"/>
  <c r="V217" i="25"/>
  <c r="AD186" i="25"/>
  <c r="AE186" i="25" s="1"/>
  <c r="W186" i="25"/>
  <c r="Z186" i="25" s="1"/>
  <c r="AA186" i="25" s="1"/>
  <c r="AB186" i="25" s="1"/>
  <c r="U186" i="25"/>
  <c r="V186" i="25"/>
  <c r="AD154" i="25"/>
  <c r="AE154" i="25" s="1"/>
  <c r="W154" i="25"/>
  <c r="Z154" i="25" s="1"/>
  <c r="AA154" i="25" s="1"/>
  <c r="AB154" i="25" s="1"/>
  <c r="U154" i="25"/>
  <c r="V154" i="25"/>
  <c r="W196" i="25"/>
  <c r="Z196" i="25" s="1"/>
  <c r="AA196" i="25" s="1"/>
  <c r="AB196" i="25" s="1"/>
  <c r="AD196" i="25"/>
  <c r="AE196" i="25" s="1"/>
  <c r="AO188" i="25"/>
  <c r="W180" i="25"/>
  <c r="Z180" i="25" s="1"/>
  <c r="AA180" i="25" s="1"/>
  <c r="AB180" i="25" s="1"/>
  <c r="AD180" i="25"/>
  <c r="AE180" i="25" s="1"/>
  <c r="AO172" i="25"/>
  <c r="W164" i="25"/>
  <c r="Z164" i="25" s="1"/>
  <c r="AA164" i="25" s="1"/>
  <c r="AB164" i="25" s="1"/>
  <c r="AD164" i="25"/>
  <c r="AE164" i="25" s="1"/>
  <c r="AO156" i="25"/>
  <c r="W148" i="25"/>
  <c r="Z148" i="25" s="1"/>
  <c r="AA148" i="25" s="1"/>
  <c r="AB148" i="25" s="1"/>
  <c r="AD148" i="25"/>
  <c r="AE148" i="25" s="1"/>
  <c r="AO140" i="25"/>
  <c r="W132" i="25"/>
  <c r="Z132" i="25" s="1"/>
  <c r="AA132" i="25" s="1"/>
  <c r="AB132" i="25" s="1"/>
  <c r="AD132" i="25"/>
  <c r="AE132" i="25" s="1"/>
  <c r="AD105" i="25"/>
  <c r="AE105" i="25" s="1"/>
  <c r="W105" i="25"/>
  <c r="Z105" i="25" s="1"/>
  <c r="AA105" i="25" s="1"/>
  <c r="AB105" i="25" s="1"/>
  <c r="V105" i="25"/>
  <c r="U105" i="25"/>
  <c r="AD101" i="25"/>
  <c r="AE101" i="25" s="1"/>
  <c r="W101" i="25"/>
  <c r="Z101" i="25" s="1"/>
  <c r="AA101" i="25" s="1"/>
  <c r="AB101" i="25" s="1"/>
  <c r="V101" i="25"/>
  <c r="U101" i="25"/>
  <c r="AD97" i="25"/>
  <c r="AE97" i="25" s="1"/>
  <c r="W97" i="25"/>
  <c r="Z97" i="25" s="1"/>
  <c r="AA97" i="25" s="1"/>
  <c r="AB97" i="25" s="1"/>
  <c r="V97" i="25"/>
  <c r="U97" i="25"/>
  <c r="AD93" i="25"/>
  <c r="AE93" i="25" s="1"/>
  <c r="W93" i="25"/>
  <c r="Z93" i="25" s="1"/>
  <c r="AA93" i="25" s="1"/>
  <c r="AB93" i="25" s="1"/>
  <c r="V93" i="25"/>
  <c r="U93" i="25"/>
  <c r="AD277" i="25"/>
  <c r="AE277" i="25" s="1"/>
  <c r="W277" i="25"/>
  <c r="Z277" i="25" s="1"/>
  <c r="AA277" i="25" s="1"/>
  <c r="AO71" i="25"/>
  <c r="V65" i="25"/>
  <c r="U65" i="25"/>
  <c r="V33" i="25"/>
  <c r="U33" i="25"/>
  <c r="V13" i="25"/>
  <c r="U13" i="25"/>
  <c r="V72" i="25"/>
  <c r="U72" i="25"/>
  <c r="V56" i="25"/>
  <c r="U56" i="25"/>
  <c r="AO316" i="25"/>
  <c r="AD187" i="25"/>
  <c r="AE187" i="25" s="1"/>
  <c r="W187" i="25"/>
  <c r="Z187" i="25" s="1"/>
  <c r="AA187" i="25" s="1"/>
  <c r="AO155" i="25"/>
  <c r="AD267" i="25"/>
  <c r="AE267" i="25" s="1"/>
  <c r="W267" i="25"/>
  <c r="Z267" i="25" s="1"/>
  <c r="AA267" i="25" s="1"/>
  <c r="AO267" i="25"/>
  <c r="AO158" i="25"/>
  <c r="AO197" i="25"/>
  <c r="AO157" i="25"/>
  <c r="AO133" i="25"/>
  <c r="AO98" i="25"/>
  <c r="U290" i="25"/>
  <c r="V290" i="25"/>
  <c r="AD223" i="25"/>
  <c r="AE223" i="25" s="1"/>
  <c r="W223" i="25"/>
  <c r="Z223" i="25" s="1"/>
  <c r="AA223" i="25" s="1"/>
  <c r="AO223" i="25"/>
  <c r="AO43" i="25"/>
  <c r="AO74" i="25"/>
  <c r="AO76" i="25"/>
  <c r="AO44" i="25"/>
  <c r="AO121" i="25"/>
  <c r="K67" i="23"/>
  <c r="M67" i="23" s="1"/>
  <c r="L103" i="23"/>
  <c r="M103" i="23" s="1"/>
  <c r="L88" i="23"/>
  <c r="M88" i="23" s="1"/>
  <c r="K20" i="23"/>
  <c r="M20" i="23" s="1"/>
  <c r="AP5" i="24"/>
  <c r="W315" i="24"/>
  <c r="Y315" i="24" s="1"/>
  <c r="K63" i="23"/>
  <c r="M63" i="23" s="1"/>
  <c r="L49" i="23"/>
  <c r="M49" i="23" s="1"/>
  <c r="K84" i="23"/>
  <c r="M84" i="23" s="1"/>
  <c r="AP224" i="24"/>
  <c r="L60" i="23"/>
  <c r="M60" i="23" s="1"/>
  <c r="AP228" i="24"/>
  <c r="AP270" i="24"/>
  <c r="W303" i="24"/>
  <c r="Y303" i="24" s="1"/>
  <c r="AP259" i="24"/>
  <c r="AP230" i="24"/>
  <c r="AP274" i="24"/>
  <c r="AP252" i="24"/>
  <c r="AP284" i="24"/>
  <c r="AP241" i="24"/>
  <c r="AP273" i="24"/>
  <c r="AP305" i="24"/>
  <c r="AP286" i="24"/>
  <c r="AP288" i="24"/>
  <c r="AP265" i="24"/>
  <c r="AP266" i="24"/>
  <c r="AP237" i="24"/>
  <c r="AP269" i="24"/>
  <c r="AP250" i="24"/>
  <c r="AP223" i="24"/>
  <c r="AP255" i="24"/>
  <c r="AP287" i="24"/>
  <c r="AP310" i="24"/>
  <c r="AP258" i="24"/>
  <c r="AP235" i="24"/>
  <c r="AP299" i="24"/>
  <c r="W301" i="24"/>
  <c r="Y301" i="24" s="1"/>
  <c r="AP232" i="24"/>
  <c r="AP264" i="24"/>
  <c r="AP296" i="24"/>
  <c r="AP221" i="24"/>
  <c r="AP226" i="24"/>
  <c r="AP263" i="24"/>
  <c r="W234" i="24"/>
  <c r="Y234" i="24" s="1"/>
  <c r="W293" i="24"/>
  <c r="Y293" i="24" s="1"/>
  <c r="AP239" i="24"/>
  <c r="AP271" i="24"/>
  <c r="AP303" i="24"/>
  <c r="AP262" i="24"/>
  <c r="AP175" i="24"/>
  <c r="AP209" i="24"/>
  <c r="AP129" i="24"/>
  <c r="AP177" i="24"/>
  <c r="AP201" i="24"/>
  <c r="AP173" i="24"/>
  <c r="AP172" i="24"/>
  <c r="AP189" i="24"/>
  <c r="AP194" i="24"/>
  <c r="AP198" i="24"/>
  <c r="AP184" i="24"/>
  <c r="AP200" i="24"/>
  <c r="AP118" i="24"/>
  <c r="AP117" i="24"/>
  <c r="W233" i="24"/>
  <c r="Y233" i="24" s="1"/>
  <c r="AP192" i="24"/>
  <c r="AP208" i="24"/>
  <c r="AP179" i="24"/>
  <c r="AP191" i="24"/>
  <c r="AP233" i="24"/>
  <c r="AP168" i="24"/>
  <c r="AP181" i="24"/>
  <c r="AP246" i="24"/>
  <c r="AP190" i="24"/>
  <c r="AP167" i="24"/>
  <c r="AP188" i="24"/>
  <c r="AP204" i="24"/>
  <c r="AP298" i="24"/>
  <c r="AP183" i="24"/>
  <c r="W239" i="24"/>
  <c r="Y239" i="24" s="1"/>
  <c r="AP193" i="24"/>
  <c r="AP203" i="24"/>
  <c r="AP148" i="24"/>
  <c r="AP180" i="24"/>
  <c r="AP182" i="24"/>
  <c r="AP199" i="24"/>
  <c r="AP279" i="24"/>
  <c r="AP171" i="24"/>
  <c r="AP276" i="24"/>
  <c r="AP306" i="24"/>
  <c r="AP249" i="24"/>
  <c r="AP313" i="24"/>
  <c r="AP170" i="24"/>
  <c r="AP247" i="24"/>
  <c r="AP295" i="24"/>
  <c r="AP197" i="24"/>
  <c r="AP242" i="24"/>
  <c r="AP125" i="24"/>
  <c r="AP187" i="24"/>
  <c r="AP165" i="24"/>
  <c r="AP121" i="24"/>
  <c r="AP174" i="24"/>
  <c r="AP176" i="24"/>
  <c r="AP169" i="24"/>
  <c r="AP206" i="24"/>
  <c r="AP141" i="24"/>
  <c r="AP178" i="24"/>
  <c r="AP210" i="24"/>
  <c r="AP244" i="24"/>
  <c r="AP205" i="24"/>
  <c r="AP217" i="24"/>
  <c r="AP185" i="24"/>
  <c r="W271" i="24"/>
  <c r="Y271" i="24" s="1"/>
  <c r="AP196" i="24"/>
  <c r="AP166" i="24"/>
  <c r="AP202" i="24"/>
  <c r="AP229" i="24"/>
  <c r="AP261" i="24"/>
  <c r="AP154" i="24"/>
  <c r="AP186" i="24"/>
  <c r="AP207" i="24"/>
  <c r="AP195" i="24"/>
  <c r="AP292" i="24"/>
  <c r="AP119" i="24"/>
  <c r="AP218" i="24"/>
  <c r="AP130" i="24"/>
  <c r="AP220" i="24"/>
  <c r="AP316" i="24"/>
  <c r="AP227" i="24"/>
  <c r="AP291" i="24"/>
  <c r="AP256" i="24"/>
  <c r="AP133" i="24"/>
  <c r="AP293" i="24"/>
  <c r="AP282" i="24"/>
  <c r="AP267" i="24"/>
  <c r="AP278" i="24"/>
  <c r="AP231" i="24"/>
  <c r="AP311" i="24"/>
  <c r="W287" i="24"/>
  <c r="Y287" i="24" s="1"/>
  <c r="W268" i="24"/>
  <c r="Y268" i="24" s="1"/>
  <c r="W228" i="24"/>
  <c r="Y228" i="24" s="1"/>
  <c r="W229" i="24"/>
  <c r="Y229" i="24" s="1"/>
  <c r="W288" i="24"/>
  <c r="Y288" i="24" s="1"/>
  <c r="AP302" i="24"/>
  <c r="AP301" i="24"/>
  <c r="AP289" i="24"/>
  <c r="AP134" i="24"/>
  <c r="AP111" i="24"/>
  <c r="AP308" i="24"/>
  <c r="AP281" i="24"/>
  <c r="AP113" i="24"/>
  <c r="AP243" i="24"/>
  <c r="AP275" i="24"/>
  <c r="AP307" i="24"/>
  <c r="AP240" i="24"/>
  <c r="AP238" i="24"/>
  <c r="AP245" i="24"/>
  <c r="AP277" i="24"/>
  <c r="AP309" i="24"/>
  <c r="AP156" i="24"/>
  <c r="AP297" i="24"/>
  <c r="W266" i="24"/>
  <c r="Y266" i="24" s="1"/>
  <c r="AP219" i="24"/>
  <c r="AP251" i="24"/>
  <c r="AP283" i="24"/>
  <c r="AP315" i="24"/>
  <c r="AP222" i="24"/>
  <c r="AP116" i="24"/>
  <c r="AP253" i="24"/>
  <c r="AP285" i="24"/>
  <c r="AP162" i="24"/>
  <c r="AP234" i="24"/>
  <c r="AP314" i="24"/>
  <c r="AP236" i="24"/>
  <c r="AP268" i="24"/>
  <c r="AP300" i="24"/>
  <c r="AP225" i="24"/>
  <c r="AP257" i="24"/>
  <c r="AP158" i="24"/>
  <c r="AP136" i="24"/>
  <c r="AP147" i="24"/>
  <c r="AP260" i="24"/>
  <c r="AP254" i="24"/>
  <c r="AP294" i="24"/>
  <c r="AP248" i="24"/>
  <c r="AP280" i="24"/>
  <c r="AP312" i="24"/>
  <c r="AP139" i="24"/>
  <c r="AP114" i="24"/>
  <c r="AP145" i="24"/>
  <c r="AP140" i="24"/>
  <c r="AP163" i="24"/>
  <c r="AP124" i="24"/>
  <c r="AP272" i="24"/>
  <c r="AP304" i="24"/>
  <c r="AP290" i="24"/>
  <c r="AP161" i="24"/>
  <c r="AP137" i="24"/>
  <c r="W127" i="24"/>
  <c r="Y127" i="24" s="1"/>
  <c r="X127" i="24"/>
  <c r="AA127" i="24" s="1"/>
  <c r="AB127" i="24" s="1"/>
  <c r="AC127" i="24" s="1"/>
  <c r="AE127" i="24"/>
  <c r="AI127" i="24"/>
  <c r="V123" i="24"/>
  <c r="V199" i="24"/>
  <c r="V191" i="24"/>
  <c r="W121" i="24"/>
  <c r="Y121" i="24" s="1"/>
  <c r="X121" i="24"/>
  <c r="AA121" i="24" s="1"/>
  <c r="AB121" i="24" s="1"/>
  <c r="AC121" i="24" s="1"/>
  <c r="AE121" i="24"/>
  <c r="AI121" i="24"/>
  <c r="V310" i="24"/>
  <c r="W310" i="24"/>
  <c r="V131" i="24"/>
  <c r="W258" i="24"/>
  <c r="Y258" i="24" s="1"/>
  <c r="V173" i="24"/>
  <c r="W173" i="24"/>
  <c r="AE111" i="24"/>
  <c r="X111" i="24"/>
  <c r="AA111" i="24" s="1"/>
  <c r="AB111" i="24" s="1"/>
  <c r="AC111" i="24" s="1"/>
  <c r="AI111" i="24"/>
  <c r="X197" i="24"/>
  <c r="AA197" i="24" s="1"/>
  <c r="AB197" i="24" s="1"/>
  <c r="AC197" i="24" s="1"/>
  <c r="AE197" i="24"/>
  <c r="L100" i="23"/>
  <c r="M100" i="23" s="1"/>
  <c r="W219" i="24"/>
  <c r="Y219" i="24" s="1"/>
  <c r="AP144" i="24"/>
  <c r="AP160" i="24"/>
  <c r="AP126" i="24"/>
  <c r="AP143" i="24"/>
  <c r="X175" i="24"/>
  <c r="AA175" i="24" s="1"/>
  <c r="AB175" i="24" s="1"/>
  <c r="AC175" i="24" s="1"/>
  <c r="AJ175" i="24" s="1"/>
  <c r="AE175" i="24"/>
  <c r="AP146" i="24"/>
  <c r="W178" i="24"/>
  <c r="Y178" i="24" s="1"/>
  <c r="X178" i="24"/>
  <c r="AA178" i="24" s="1"/>
  <c r="AB178" i="24" s="1"/>
  <c r="AC178" i="24" s="1"/>
  <c r="AJ178" i="24" s="1"/>
  <c r="AE178" i="24"/>
  <c r="AP120" i="24"/>
  <c r="AP132" i="24"/>
  <c r="AP164" i="24"/>
  <c r="V201" i="24"/>
  <c r="AP151" i="24"/>
  <c r="AP123" i="24"/>
  <c r="AP155" i="24"/>
  <c r="AP150" i="24"/>
  <c r="V111" i="24"/>
  <c r="W111" i="24"/>
  <c r="X140" i="24"/>
  <c r="AA140" i="24" s="1"/>
  <c r="AB140" i="24" s="1"/>
  <c r="AC140" i="24" s="1"/>
  <c r="AJ140" i="24" s="1"/>
  <c r="AE140" i="24"/>
  <c r="V189" i="24"/>
  <c r="V194" i="24"/>
  <c r="AP135" i="24"/>
  <c r="V198" i="24"/>
  <c r="AP152" i="24"/>
  <c r="W138" i="24"/>
  <c r="Y138" i="24" s="1"/>
  <c r="AE138" i="24"/>
  <c r="X138" i="24"/>
  <c r="AA138" i="24" s="1"/>
  <c r="AB138" i="24" s="1"/>
  <c r="AC138" i="24" s="1"/>
  <c r="AJ138" i="24" s="1"/>
  <c r="V207" i="24"/>
  <c r="V195" i="24"/>
  <c r="V115" i="24"/>
  <c r="V128" i="24"/>
  <c r="W197" i="24"/>
  <c r="V197" i="24"/>
  <c r="AP142" i="24"/>
  <c r="V187" i="24"/>
  <c r="V124" i="24"/>
  <c r="W124" i="24"/>
  <c r="V156" i="24"/>
  <c r="W250" i="24"/>
  <c r="Y250" i="24" s="1"/>
  <c r="AE160" i="24"/>
  <c r="X160" i="24"/>
  <c r="AA160" i="24" s="1"/>
  <c r="AB160" i="24" s="1"/>
  <c r="AC160" i="24" s="1"/>
  <c r="AJ160" i="24" s="1"/>
  <c r="AE126" i="24"/>
  <c r="X126" i="24"/>
  <c r="AA126" i="24" s="1"/>
  <c r="AB126" i="24" s="1"/>
  <c r="AC126" i="24" s="1"/>
  <c r="AJ126" i="24" s="1"/>
  <c r="V193" i="24"/>
  <c r="V175" i="24"/>
  <c r="W175" i="24"/>
  <c r="V141" i="24"/>
  <c r="V165" i="24"/>
  <c r="W129" i="24"/>
  <c r="Y129" i="24" s="1"/>
  <c r="X129" i="24"/>
  <c r="AA129" i="24" s="1"/>
  <c r="AB129" i="24" s="1"/>
  <c r="AC129" i="24" s="1"/>
  <c r="AJ129" i="24" s="1"/>
  <c r="AE129" i="24"/>
  <c r="V203" i="24"/>
  <c r="W164" i="24"/>
  <c r="Y164" i="24" s="1"/>
  <c r="X164" i="24"/>
  <c r="AA164" i="24" s="1"/>
  <c r="AB164" i="24" s="1"/>
  <c r="AC164" i="24" s="1"/>
  <c r="AJ164" i="24" s="1"/>
  <c r="AE164" i="24"/>
  <c r="X180" i="24"/>
  <c r="AA180" i="24" s="1"/>
  <c r="AB180" i="24" s="1"/>
  <c r="AC180" i="24" s="1"/>
  <c r="AJ180" i="24" s="1"/>
  <c r="AE180" i="24"/>
  <c r="AP131" i="24"/>
  <c r="V140" i="24"/>
  <c r="W140" i="24"/>
  <c r="V172" i="24"/>
  <c r="W135" i="24"/>
  <c r="Y135" i="24" s="1"/>
  <c r="X135" i="24"/>
  <c r="AA135" i="24" s="1"/>
  <c r="AB135" i="24" s="1"/>
  <c r="AC135" i="24" s="1"/>
  <c r="AJ135" i="24" s="1"/>
  <c r="AE135" i="24"/>
  <c r="W202" i="24"/>
  <c r="Y202" i="24" s="1"/>
  <c r="X202" i="24"/>
  <c r="AA202" i="24" s="1"/>
  <c r="AB202" i="24" s="1"/>
  <c r="AC202" i="24" s="1"/>
  <c r="AJ202" i="24" s="1"/>
  <c r="AE202" i="24"/>
  <c r="AE200" i="24"/>
  <c r="X200" i="24"/>
  <c r="AA200" i="24" s="1"/>
  <c r="AB200" i="24" s="1"/>
  <c r="AC200" i="24" s="1"/>
  <c r="AJ200" i="24" s="1"/>
  <c r="AP157" i="24"/>
  <c r="AP112" i="24"/>
  <c r="V159" i="24"/>
  <c r="V133" i="24"/>
  <c r="V185" i="24"/>
  <c r="V167" i="24"/>
  <c r="V154" i="24"/>
  <c r="V186" i="24"/>
  <c r="V147" i="24"/>
  <c r="V125" i="24"/>
  <c r="V112" i="24"/>
  <c r="W251" i="24"/>
  <c r="Y251" i="24" s="1"/>
  <c r="V160" i="24"/>
  <c r="W160" i="24"/>
  <c r="V176" i="24"/>
  <c r="V192" i="24"/>
  <c r="V208" i="24"/>
  <c r="V126" i="24"/>
  <c r="W126" i="24"/>
  <c r="V169" i="24"/>
  <c r="V143" i="24"/>
  <c r="V116" i="24"/>
  <c r="V162" i="24"/>
  <c r="V179" i="24"/>
  <c r="V132" i="24"/>
  <c r="W180" i="24"/>
  <c r="V180" i="24"/>
  <c r="AP127" i="24"/>
  <c r="AE173" i="24"/>
  <c r="X173" i="24"/>
  <c r="AA173" i="24" s="1"/>
  <c r="AB173" i="24" s="1"/>
  <c r="AC173" i="24" s="1"/>
  <c r="AJ173" i="24" s="1"/>
  <c r="AP122" i="24"/>
  <c r="AP153" i="24"/>
  <c r="V158" i="24"/>
  <c r="V163" i="24"/>
  <c r="V113" i="24"/>
  <c r="V152" i="24"/>
  <c r="V200" i="24"/>
  <c r="W200" i="24"/>
  <c r="W118" i="24"/>
  <c r="Y118" i="24" s="1"/>
  <c r="AE118" i="24"/>
  <c r="X118" i="24"/>
  <c r="AA118" i="24" s="1"/>
  <c r="AB118" i="24" s="1"/>
  <c r="AC118" i="24" s="1"/>
  <c r="AJ118" i="24" s="1"/>
  <c r="V205" i="24"/>
  <c r="AE124" i="24"/>
  <c r="X124" i="24"/>
  <c r="AA124" i="24" s="1"/>
  <c r="AB124" i="24" s="1"/>
  <c r="AC124" i="24" s="1"/>
  <c r="AJ124" i="24" s="1"/>
  <c r="AP159" i="24"/>
  <c r="AP149" i="24"/>
  <c r="AP138" i="24"/>
  <c r="AP115" i="24"/>
  <c r="AP128" i="24"/>
  <c r="AI197" i="24"/>
  <c r="V183" i="24"/>
  <c r="W220" i="24"/>
  <c r="Y220" i="24" s="1"/>
  <c r="L24" i="23"/>
  <c r="M24" i="23" s="1"/>
  <c r="K42" i="23"/>
  <c r="M42" i="23" s="1"/>
  <c r="K66" i="23"/>
  <c r="M66" i="23" s="1"/>
  <c r="K74" i="23"/>
  <c r="M74" i="23" s="1"/>
  <c r="X245" i="24"/>
  <c r="AA245" i="24" s="1"/>
  <c r="AB245" i="24" s="1"/>
  <c r="AC245" i="24" s="1"/>
  <c r="AE245" i="24"/>
  <c r="AI245" i="24"/>
  <c r="AI307" i="24"/>
  <c r="AE307" i="24"/>
  <c r="X307" i="24"/>
  <c r="AA307" i="24" s="1"/>
  <c r="AB307" i="24" s="1"/>
  <c r="AC307" i="24" s="1"/>
  <c r="V284" i="24"/>
  <c r="V227" i="24"/>
  <c r="W227" i="24"/>
  <c r="AE302" i="24"/>
  <c r="AI302" i="24"/>
  <c r="X302" i="24"/>
  <c r="AA302" i="24" s="1"/>
  <c r="AB302" i="24" s="1"/>
  <c r="AC302" i="24" s="1"/>
  <c r="W297" i="24"/>
  <c r="Y297" i="24" s="1"/>
  <c r="AI297" i="24"/>
  <c r="AE297" i="24"/>
  <c r="X297" i="24"/>
  <c r="AA297" i="24" s="1"/>
  <c r="AB297" i="24" s="1"/>
  <c r="AC297" i="24" s="1"/>
  <c r="V279" i="24"/>
  <c r="W279" i="24"/>
  <c r="V296" i="24"/>
  <c r="V245" i="24"/>
  <c r="W245" i="24"/>
  <c r="AE240" i="24"/>
  <c r="AI240" i="24"/>
  <c r="X240" i="24"/>
  <c r="AA240" i="24" s="1"/>
  <c r="AB240" i="24" s="1"/>
  <c r="AC240" i="24" s="1"/>
  <c r="AI259" i="24"/>
  <c r="AE259" i="24"/>
  <c r="X259" i="24"/>
  <c r="AA259" i="24" s="1"/>
  <c r="AB259" i="24" s="1"/>
  <c r="AC259" i="24" s="1"/>
  <c r="AE223" i="24"/>
  <c r="AI223" i="24"/>
  <c r="X223" i="24"/>
  <c r="AA223" i="24" s="1"/>
  <c r="AB223" i="24" s="1"/>
  <c r="AC223" i="24" s="1"/>
  <c r="AI264" i="24"/>
  <c r="AE264" i="24"/>
  <c r="X264" i="24"/>
  <c r="AA264" i="24" s="1"/>
  <c r="AB264" i="24" s="1"/>
  <c r="AC264" i="24" s="1"/>
  <c r="AE273" i="24"/>
  <c r="AI273" i="24"/>
  <c r="X273" i="24"/>
  <c r="AA273" i="24" s="1"/>
  <c r="AB273" i="24" s="1"/>
  <c r="AC273" i="24" s="1"/>
  <c r="V231" i="24"/>
  <c r="AE222" i="24"/>
  <c r="AI222" i="24"/>
  <c r="X222" i="24"/>
  <c r="AA222" i="24" s="1"/>
  <c r="AB222" i="24" s="1"/>
  <c r="AC222" i="24" s="1"/>
  <c r="AI243" i="24"/>
  <c r="AE243" i="24"/>
  <c r="X243" i="24"/>
  <c r="AA243" i="24" s="1"/>
  <c r="AB243" i="24" s="1"/>
  <c r="AC243" i="24" s="1"/>
  <c r="V312" i="24"/>
  <c r="V270" i="24"/>
  <c r="AI293" i="24"/>
  <c r="AE293" i="24"/>
  <c r="X293" i="24"/>
  <c r="AA293" i="24" s="1"/>
  <c r="AB293" i="24" s="1"/>
  <c r="AC293" i="24" s="1"/>
  <c r="V304" i="24"/>
  <c r="W304" i="24"/>
  <c r="AE301" i="24"/>
  <c r="AI301" i="24"/>
  <c r="X301" i="24"/>
  <c r="AA301" i="24" s="1"/>
  <c r="AB301" i="24" s="1"/>
  <c r="AC301" i="24" s="1"/>
  <c r="W307" i="24"/>
  <c r="Y307" i="24" s="1"/>
  <c r="AI241" i="24"/>
  <c r="AE241" i="24"/>
  <c r="X241" i="24"/>
  <c r="AA241" i="24" s="1"/>
  <c r="AB241" i="24" s="1"/>
  <c r="AC241" i="24" s="1"/>
  <c r="AE279" i="24"/>
  <c r="AI279" i="24"/>
  <c r="X279" i="24"/>
  <c r="AA279" i="24" s="1"/>
  <c r="AB279" i="24" s="1"/>
  <c r="AC279" i="24" s="1"/>
  <c r="AE236" i="24"/>
  <c r="AI236" i="24"/>
  <c r="X236" i="24"/>
  <c r="AA236" i="24" s="1"/>
  <c r="AB236" i="24" s="1"/>
  <c r="AC236" i="24" s="1"/>
  <c r="AE224" i="24"/>
  <c r="AI224" i="24"/>
  <c r="X224" i="24"/>
  <c r="AA224" i="24" s="1"/>
  <c r="AB224" i="24" s="1"/>
  <c r="AC224" i="24" s="1"/>
  <c r="V294" i="24"/>
  <c r="W294" i="24"/>
  <c r="V246" i="24"/>
  <c r="W236" i="24"/>
  <c r="Y236" i="24" s="1"/>
  <c r="W259" i="24"/>
  <c r="Y259" i="24" s="1"/>
  <c r="W273" i="24"/>
  <c r="Y273" i="24" s="1"/>
  <c r="AE285" i="24"/>
  <c r="AI285" i="24"/>
  <c r="X285" i="24"/>
  <c r="AA285" i="24" s="1"/>
  <c r="AB285" i="24" s="1"/>
  <c r="AC285" i="24" s="1"/>
  <c r="V316" i="24"/>
  <c r="W316" i="24"/>
  <c r="V276" i="24"/>
  <c r="V223" i="24"/>
  <c r="W223" i="24"/>
  <c r="V254" i="24"/>
  <c r="W254" i="24"/>
  <c r="V232" i="24"/>
  <c r="V309" i="24"/>
  <c r="W309" i="24"/>
  <c r="V314" i="24"/>
  <c r="W314" i="24"/>
  <c r="AI251" i="24"/>
  <c r="AE251" i="24"/>
  <c r="X251" i="24"/>
  <c r="AA251" i="24" s="1"/>
  <c r="AB251" i="24" s="1"/>
  <c r="AC251" i="24" s="1"/>
  <c r="AE216" i="24"/>
  <c r="AI216" i="24"/>
  <c r="X216" i="24"/>
  <c r="AA216" i="24" s="1"/>
  <c r="AB216" i="24" s="1"/>
  <c r="AC216" i="24" s="1"/>
  <c r="AI220" i="24"/>
  <c r="AE220" i="24"/>
  <c r="X220" i="24"/>
  <c r="AA220" i="24" s="1"/>
  <c r="AB220" i="24" s="1"/>
  <c r="AC220" i="24" s="1"/>
  <c r="AI287" i="24"/>
  <c r="AE287" i="24"/>
  <c r="X287" i="24"/>
  <c r="AA287" i="24" s="1"/>
  <c r="AB287" i="24" s="1"/>
  <c r="AC287" i="24" s="1"/>
  <c r="AI266" i="24"/>
  <c r="AE266" i="24"/>
  <c r="X266" i="24"/>
  <c r="AA266" i="24" s="1"/>
  <c r="AB266" i="24" s="1"/>
  <c r="AC266" i="24" s="1"/>
  <c r="V256" i="24"/>
  <c r="W256" i="24"/>
  <c r="AE316" i="24"/>
  <c r="AI316" i="24"/>
  <c r="X316" i="24"/>
  <c r="AA316" i="24" s="1"/>
  <c r="AB316" i="24" s="1"/>
  <c r="AC316" i="24" s="1"/>
  <c r="AI274" i="24"/>
  <c r="AE274" i="24"/>
  <c r="X274" i="24"/>
  <c r="AA274" i="24" s="1"/>
  <c r="AB274" i="24" s="1"/>
  <c r="AC274" i="24" s="1"/>
  <c r="AE254" i="24"/>
  <c r="AI254" i="24"/>
  <c r="X254" i="24"/>
  <c r="AA254" i="24" s="1"/>
  <c r="AB254" i="24" s="1"/>
  <c r="AC254" i="24" s="1"/>
  <c r="AE268" i="24"/>
  <c r="AI268" i="24"/>
  <c r="X268" i="24"/>
  <c r="AA268" i="24" s="1"/>
  <c r="AB268" i="24" s="1"/>
  <c r="AC268" i="24" s="1"/>
  <c r="AI219" i="24"/>
  <c r="AE219" i="24"/>
  <c r="X219" i="24"/>
  <c r="AA219" i="24" s="1"/>
  <c r="AB219" i="24" s="1"/>
  <c r="AC219" i="24" s="1"/>
  <c r="W274" i="24"/>
  <c r="V274" i="24"/>
  <c r="AI286" i="24"/>
  <c r="AE286" i="24"/>
  <c r="X286" i="24"/>
  <c r="AA286" i="24" s="1"/>
  <c r="AB286" i="24" s="1"/>
  <c r="AC286" i="24" s="1"/>
  <c r="AE235" i="24"/>
  <c r="AI235" i="24"/>
  <c r="X235" i="24"/>
  <c r="AA235" i="24" s="1"/>
  <c r="AB235" i="24" s="1"/>
  <c r="AC235" i="24" s="1"/>
  <c r="AE221" i="24"/>
  <c r="AI221" i="24"/>
  <c r="X221" i="24"/>
  <c r="AA221" i="24" s="1"/>
  <c r="AB221" i="24" s="1"/>
  <c r="AC221" i="24" s="1"/>
  <c r="V286" i="24"/>
  <c r="W286" i="24"/>
  <c r="V267" i="24"/>
  <c r="W243" i="24"/>
  <c r="V243" i="24"/>
  <c r="AI288" i="24"/>
  <c r="AE288" i="24"/>
  <c r="X288" i="24"/>
  <c r="AA288" i="24" s="1"/>
  <c r="AB288" i="24" s="1"/>
  <c r="AC288" i="24" s="1"/>
  <c r="X292" i="24"/>
  <c r="AA292" i="24" s="1"/>
  <c r="AB292" i="24" s="1"/>
  <c r="AC292" i="24" s="1"/>
  <c r="AI292" i="24"/>
  <c r="AE292" i="24"/>
  <c r="W240" i="24"/>
  <c r="Y240" i="24" s="1"/>
  <c r="AI250" i="24"/>
  <c r="AE250" i="24"/>
  <c r="X250" i="24"/>
  <c r="AA250" i="24" s="1"/>
  <c r="AB250" i="24" s="1"/>
  <c r="AC250" i="24" s="1"/>
  <c r="V262" i="24"/>
  <c r="V306" i="24"/>
  <c r="V300" i="24"/>
  <c r="W300" i="24"/>
  <c r="V247" i="24"/>
  <c r="W247" i="24"/>
  <c r="V264" i="24"/>
  <c r="W264" i="24"/>
  <c r="V235" i="24"/>
  <c r="W235" i="24"/>
  <c r="AE228" i="24"/>
  <c r="AI228" i="24"/>
  <c r="X228" i="24"/>
  <c r="AA228" i="24" s="1"/>
  <c r="AB228" i="24" s="1"/>
  <c r="AC228" i="24" s="1"/>
  <c r="V237" i="24"/>
  <c r="AE218" i="24"/>
  <c r="AI218" i="24"/>
  <c r="X218" i="24"/>
  <c r="AA218" i="24" s="1"/>
  <c r="AB218" i="24" s="1"/>
  <c r="AC218" i="24" s="1"/>
  <c r="X300" i="24"/>
  <c r="AA300" i="24" s="1"/>
  <c r="AB300" i="24" s="1"/>
  <c r="AC300" i="24" s="1"/>
  <c r="AI300" i="24"/>
  <c r="AE300" i="24"/>
  <c r="K58" i="23"/>
  <c r="M58" i="23" s="1"/>
  <c r="AE315" i="24"/>
  <c r="AI315" i="24"/>
  <c r="X315" i="24"/>
  <c r="AA315" i="24" s="1"/>
  <c r="AB315" i="24" s="1"/>
  <c r="AC315" i="24" s="1"/>
  <c r="AI271" i="24"/>
  <c r="AE271" i="24"/>
  <c r="X271" i="24"/>
  <c r="AA271" i="24" s="1"/>
  <c r="AB271" i="24" s="1"/>
  <c r="AC271" i="24" s="1"/>
  <c r="AE314" i="24"/>
  <c r="AI314" i="24"/>
  <c r="X314" i="24"/>
  <c r="AA314" i="24" s="1"/>
  <c r="AB314" i="24" s="1"/>
  <c r="AC314" i="24" s="1"/>
  <c r="AI234" i="24"/>
  <c r="AE234" i="24"/>
  <c r="X234" i="24"/>
  <c r="AA234" i="24" s="1"/>
  <c r="AB234" i="24" s="1"/>
  <c r="AC234" i="24" s="1"/>
  <c r="V308" i="24"/>
  <c r="V255" i="24"/>
  <c r="AE247" i="24"/>
  <c r="AI247" i="24"/>
  <c r="X247" i="24"/>
  <c r="AA247" i="24" s="1"/>
  <c r="AB247" i="24" s="1"/>
  <c r="AC247" i="24" s="1"/>
  <c r="AE309" i="24"/>
  <c r="AI309" i="24"/>
  <c r="X309" i="24"/>
  <c r="AA309" i="24" s="1"/>
  <c r="AB309" i="24" s="1"/>
  <c r="AC309" i="24" s="1"/>
  <c r="AI256" i="24"/>
  <c r="AE256" i="24"/>
  <c r="X256" i="24"/>
  <c r="AA256" i="24" s="1"/>
  <c r="AB256" i="24" s="1"/>
  <c r="AC256" i="24" s="1"/>
  <c r="W224" i="24"/>
  <c r="Y224" i="24" s="1"/>
  <c r="W241" i="24"/>
  <c r="Y241" i="24" s="1"/>
  <c r="W292" i="24"/>
  <c r="Y292" i="24" s="1"/>
  <c r="AI272" i="24"/>
  <c r="AE272" i="24"/>
  <c r="X272" i="24"/>
  <c r="AA272" i="24" s="1"/>
  <c r="AB272" i="24" s="1"/>
  <c r="AC272" i="24" s="1"/>
  <c r="V244" i="24"/>
  <c r="V302" i="24"/>
  <c r="W302" i="24"/>
  <c r="V222" i="24"/>
  <c r="W222" i="24"/>
  <c r="V299" i="24"/>
  <c r="V261" i="24"/>
  <c r="V218" i="24"/>
  <c r="W218" i="24"/>
  <c r="AE230" i="24"/>
  <c r="AI230" i="24"/>
  <c r="X230" i="24"/>
  <c r="AA230" i="24" s="1"/>
  <c r="AB230" i="24" s="1"/>
  <c r="AC230" i="24" s="1"/>
  <c r="AE258" i="24"/>
  <c r="AI258" i="24"/>
  <c r="X258" i="24"/>
  <c r="AA258" i="24" s="1"/>
  <c r="AB258" i="24" s="1"/>
  <c r="AC258" i="24" s="1"/>
  <c r="AI303" i="24"/>
  <c r="AE303" i="24"/>
  <c r="X303" i="24"/>
  <c r="AA303" i="24" s="1"/>
  <c r="AB303" i="24" s="1"/>
  <c r="AC303" i="24" s="1"/>
  <c r="W275" i="24"/>
  <c r="Y275" i="24" s="1"/>
  <c r="AI275" i="24"/>
  <c r="AE275" i="24"/>
  <c r="X275" i="24"/>
  <c r="AA275" i="24" s="1"/>
  <c r="AB275" i="24" s="1"/>
  <c r="AC275" i="24" s="1"/>
  <c r="AE233" i="24"/>
  <c r="AI233" i="24"/>
  <c r="X233" i="24"/>
  <c r="AA233" i="24" s="1"/>
  <c r="AB233" i="24" s="1"/>
  <c r="AC233" i="24" s="1"/>
  <c r="AE229" i="24"/>
  <c r="AI229" i="24"/>
  <c r="X229" i="24"/>
  <c r="AA229" i="24" s="1"/>
  <c r="AB229" i="24" s="1"/>
  <c r="AC229" i="24" s="1"/>
  <c r="AE304" i="24"/>
  <c r="AI304" i="24"/>
  <c r="X304" i="24"/>
  <c r="AA304" i="24" s="1"/>
  <c r="AB304" i="24" s="1"/>
  <c r="AC304" i="24" s="1"/>
  <c r="AI239" i="24"/>
  <c r="AE239" i="24"/>
  <c r="X239" i="24"/>
  <c r="AA239" i="24" s="1"/>
  <c r="AB239" i="24" s="1"/>
  <c r="AC239" i="24" s="1"/>
  <c r="AE310" i="24"/>
  <c r="AI310" i="24"/>
  <c r="X310" i="24"/>
  <c r="AA310" i="24" s="1"/>
  <c r="AB310" i="24" s="1"/>
  <c r="AC310" i="24" s="1"/>
  <c r="AE294" i="24"/>
  <c r="AI294" i="24"/>
  <c r="X294" i="24"/>
  <c r="AA294" i="24" s="1"/>
  <c r="AB294" i="24" s="1"/>
  <c r="AC294" i="24" s="1"/>
  <c r="W230" i="24"/>
  <c r="Y230" i="24" s="1"/>
  <c r="W216" i="24"/>
  <c r="Y216" i="24" s="1"/>
  <c r="W285" i="24"/>
  <c r="Y285" i="24" s="1"/>
  <c r="W221" i="24"/>
  <c r="Y221" i="24" s="1"/>
  <c r="AE227" i="24"/>
  <c r="AI227" i="24"/>
  <c r="X227" i="24"/>
  <c r="AA227" i="24" s="1"/>
  <c r="AB227" i="24" s="1"/>
  <c r="AC227" i="24" s="1"/>
  <c r="W272" i="24"/>
  <c r="Y272" i="24" s="1"/>
  <c r="AP60" i="24"/>
  <c r="AP41" i="24"/>
  <c r="AP40" i="24"/>
  <c r="AP63" i="24"/>
  <c r="AP72" i="24"/>
  <c r="AP64" i="24"/>
  <c r="AP83" i="24"/>
  <c r="AP27" i="24"/>
  <c r="AP101" i="24"/>
  <c r="AP42" i="24"/>
  <c r="AP56" i="24"/>
  <c r="AP46" i="24"/>
  <c r="AP18" i="24"/>
  <c r="AP10" i="24"/>
  <c r="AP79" i="24"/>
  <c r="AP55" i="24"/>
  <c r="AP54" i="24"/>
  <c r="AP91" i="24"/>
  <c r="AP87" i="24"/>
  <c r="AP59" i="24"/>
  <c r="AP36" i="24"/>
  <c r="AP105" i="24"/>
  <c r="AP28" i="24"/>
  <c r="V14" i="24"/>
  <c r="V48" i="24"/>
  <c r="V18" i="24"/>
  <c r="V73" i="24"/>
  <c r="V76" i="24"/>
  <c r="V60" i="24"/>
  <c r="V47" i="24"/>
  <c r="V40" i="24"/>
  <c r="V10" i="24"/>
  <c r="V83" i="24"/>
  <c r="V6" i="24"/>
  <c r="V54" i="24"/>
  <c r="V43" i="24"/>
  <c r="V91" i="24"/>
  <c r="V20" i="24"/>
  <c r="V35" i="24"/>
  <c r="V19" i="24"/>
  <c r="V26" i="24"/>
  <c r="V95" i="24"/>
  <c r="V104" i="24"/>
  <c r="V46" i="24"/>
  <c r="V92" i="24"/>
  <c r="V90" i="24"/>
  <c r="V50" i="24"/>
  <c r="V7" i="24"/>
  <c r="V103" i="24"/>
  <c r="V64" i="24"/>
  <c r="V78" i="24"/>
  <c r="V9" i="24"/>
  <c r="V38" i="24"/>
  <c r="V27" i="24"/>
  <c r="V75" i="24"/>
  <c r="V100" i="24"/>
  <c r="V41" i="24"/>
  <c r="V15" i="24"/>
  <c r="V74" i="24"/>
  <c r="V31" i="24"/>
  <c r="V79" i="24"/>
  <c r="V8" i="24"/>
  <c r="V88" i="24"/>
  <c r="V45" i="24"/>
  <c r="V30" i="24"/>
  <c r="V13" i="24"/>
  <c r="V24" i="24"/>
  <c r="K93" i="23"/>
  <c r="M93" i="23" s="1"/>
  <c r="V23" i="24"/>
  <c r="V85" i="24"/>
  <c r="V82" i="24"/>
  <c r="V62" i="24"/>
  <c r="V86" i="24"/>
  <c r="V93" i="24"/>
  <c r="V34" i="24"/>
  <c r="V53" i="24"/>
  <c r="V39" i="24"/>
  <c r="V87" i="24"/>
  <c r="V16" i="24"/>
  <c r="V96" i="24"/>
  <c r="V57" i="24"/>
  <c r="V52" i="24"/>
  <c r="V84" i="24"/>
  <c r="V33" i="24"/>
  <c r="V12" i="24"/>
  <c r="V58" i="24"/>
  <c r="W5" i="24"/>
  <c r="V5" i="24"/>
  <c r="V63" i="24"/>
  <c r="V72" i="24"/>
  <c r="V81" i="24"/>
  <c r="L57" i="23"/>
  <c r="M57" i="23" s="1"/>
  <c r="V66" i="24"/>
  <c r="V105" i="24"/>
  <c r="V28" i="24"/>
  <c r="V94" i="24"/>
  <c r="V71" i="24"/>
  <c r="V29" i="24"/>
  <c r="V21" i="24"/>
  <c r="V61" i="24"/>
  <c r="V77" i="24"/>
  <c r="V37" i="24"/>
  <c r="V68" i="24"/>
  <c r="V99" i="24"/>
  <c r="V25" i="24"/>
  <c r="V42" i="24"/>
  <c r="V67" i="24"/>
  <c r="V49" i="24"/>
  <c r="L72" i="23"/>
  <c r="M72" i="23" s="1"/>
  <c r="K65" i="23"/>
  <c r="M65" i="23" s="1"/>
  <c r="L95" i="23"/>
  <c r="M95" i="23" s="1"/>
  <c r="M11" i="23"/>
  <c r="M99" i="23"/>
  <c r="M27" i="23"/>
  <c r="M19" i="23"/>
  <c r="M56" i="23"/>
  <c r="M8" i="23"/>
  <c r="M87" i="23"/>
  <c r="M55" i="23"/>
  <c r="M75" i="23"/>
  <c r="M12" i="23"/>
  <c r="M47" i="23"/>
  <c r="M43" i="23"/>
  <c r="M6" i="23"/>
  <c r="L97" i="23"/>
  <c r="M97" i="23" s="1"/>
  <c r="K83" i="23"/>
  <c r="M83" i="23" s="1"/>
  <c r="M98" i="23"/>
  <c r="M62" i="23"/>
  <c r="M46" i="23"/>
  <c r="M76" i="23"/>
  <c r="M78" i="23"/>
  <c r="M54" i="23"/>
  <c r="M81" i="23"/>
  <c r="M85" i="23"/>
  <c r="M50" i="23"/>
  <c r="M53" i="23"/>
  <c r="M101" i="23"/>
  <c r="M45" i="23"/>
  <c r="M34" i="23"/>
  <c r="M36" i="23"/>
  <c r="M28" i="23"/>
  <c r="M9" i="23"/>
  <c r="M33" i="23"/>
  <c r="M30" i="23"/>
  <c r="M90" i="23"/>
  <c r="M10" i="23"/>
  <c r="M94" i="23"/>
  <c r="M68" i="23"/>
  <c r="M70" i="23"/>
  <c r="M106" i="23"/>
  <c r="M41" i="23"/>
  <c r="M37" i="23"/>
  <c r="M44" i="23"/>
  <c r="M32" i="23"/>
  <c r="M23" i="23"/>
  <c r="M48" i="23"/>
  <c r="M64" i="23"/>
  <c r="M15" i="23"/>
  <c r="M40" i="23"/>
  <c r="M80" i="23"/>
  <c r="M31" i="23"/>
  <c r="M91" i="23"/>
  <c r="M7" i="23"/>
  <c r="M96" i="23"/>
  <c r="M51" i="23"/>
  <c r="M71" i="23"/>
  <c r="M39" i="23"/>
  <c r="M79" i="23"/>
  <c r="M104" i="23"/>
  <c r="M59" i="23"/>
  <c r="M16" i="23"/>
  <c r="M35" i="23"/>
  <c r="M18" i="23"/>
  <c r="M105" i="23"/>
  <c r="M86" i="23"/>
  <c r="M52" i="23"/>
  <c r="M89" i="23"/>
  <c r="M38" i="23"/>
  <c r="M25" i="23"/>
  <c r="M61" i="23"/>
  <c r="M82" i="23"/>
  <c r="M14" i="23"/>
  <c r="M29" i="23"/>
  <c r="M69" i="23"/>
  <c r="M17" i="23"/>
  <c r="M21" i="23"/>
  <c r="M22" i="23"/>
  <c r="M92" i="23"/>
  <c r="M73" i="23"/>
  <c r="M13" i="23"/>
  <c r="M102" i="23"/>
  <c r="M26" i="23"/>
  <c r="B196" i="2"/>
  <c r="A237" i="2"/>
  <c r="D42" i="16"/>
  <c r="B197" i="2"/>
  <c r="D43" i="16"/>
  <c r="CE5" i="25" l="1"/>
  <c r="CE6" i="25"/>
  <c r="CE7" i="25"/>
  <c r="CE80" i="25"/>
  <c r="CE49" i="25"/>
  <c r="CE58" i="25"/>
  <c r="CE29" i="25"/>
  <c r="CE104" i="25"/>
  <c r="CE42" i="25"/>
  <c r="CE62" i="25"/>
  <c r="CE19" i="25"/>
  <c r="CE66" i="25"/>
  <c r="CE43" i="25"/>
  <c r="CE14" i="25"/>
  <c r="CE86" i="25"/>
  <c r="CE57" i="25"/>
  <c r="CE21" i="25"/>
  <c r="CE39" i="25"/>
  <c r="CE101" i="25"/>
  <c r="CE36" i="25"/>
  <c r="CE73" i="25"/>
  <c r="CE18" i="25"/>
  <c r="CE53" i="25"/>
  <c r="CE90" i="25"/>
  <c r="CE51" i="25"/>
  <c r="CE92" i="25"/>
  <c r="CE69" i="25"/>
  <c r="CE55" i="25"/>
  <c r="CE12" i="25"/>
  <c r="CE28" i="25"/>
  <c r="CE10" i="25"/>
  <c r="CE79" i="25"/>
  <c r="CE48" i="25"/>
  <c r="CE33" i="25"/>
  <c r="CE16" i="25"/>
  <c r="CE9" i="25"/>
  <c r="CE59" i="25"/>
  <c r="CE38" i="25"/>
  <c r="CE24" i="25"/>
  <c r="CE11" i="25"/>
  <c r="CE15" i="25"/>
  <c r="CE100" i="25"/>
  <c r="CE22" i="25"/>
  <c r="CE64" i="25"/>
  <c r="CE97" i="25"/>
  <c r="CE26" i="25"/>
  <c r="CE50" i="25"/>
  <c r="CE27" i="25"/>
  <c r="CE81" i="25"/>
  <c r="CE75" i="25"/>
  <c r="CE30" i="25"/>
  <c r="CE72" i="25"/>
  <c r="CE77" i="25"/>
  <c r="CE95" i="25"/>
  <c r="CE8" i="25"/>
  <c r="CE71" i="25"/>
  <c r="CE41" i="25"/>
  <c r="CE23" i="25"/>
  <c r="CE34" i="25"/>
  <c r="CE76" i="25"/>
  <c r="CE85" i="25"/>
  <c r="CE96" i="25"/>
  <c r="CE13" i="25"/>
  <c r="CE17" i="25"/>
  <c r="CE37" i="25"/>
  <c r="CE88" i="25"/>
  <c r="CE99" i="25"/>
  <c r="CD153" i="24"/>
  <c r="CE110" i="24"/>
  <c r="CE216" i="24"/>
  <c r="CE242" i="24"/>
  <c r="CE281" i="24"/>
  <c r="CE254" i="24"/>
  <c r="CE137" i="24"/>
  <c r="CE226" i="24"/>
  <c r="CE277" i="24"/>
  <c r="CE238" i="24"/>
  <c r="CE133" i="24"/>
  <c r="CE217" i="24"/>
  <c r="CE291" i="24"/>
  <c r="CE121" i="24"/>
  <c r="CE131" i="24"/>
  <c r="CE305" i="24"/>
  <c r="CE241" i="24"/>
  <c r="CE278" i="24"/>
  <c r="CE316" i="24"/>
  <c r="CE252" i="24"/>
  <c r="CE271" i="24"/>
  <c r="CE294" i="24"/>
  <c r="CE265" i="24"/>
  <c r="CE198" i="24"/>
  <c r="CE276" i="24"/>
  <c r="CE298" i="24"/>
  <c r="CE115" i="24"/>
  <c r="CE140" i="24"/>
  <c r="CE293" i="24"/>
  <c r="CE288" i="24"/>
  <c r="CE159" i="24"/>
  <c r="CE184" i="24"/>
  <c r="CE136" i="24"/>
  <c r="CE310" i="24"/>
  <c r="CE285" i="24"/>
  <c r="CE221" i="24"/>
  <c r="CE296" i="24"/>
  <c r="CE232" i="24"/>
  <c r="CE315" i="24"/>
  <c r="CE251" i="24"/>
  <c r="CE174" i="24"/>
  <c r="CE260" i="24"/>
  <c r="CE258" i="24"/>
  <c r="CE189" i="24"/>
  <c r="CE188" i="24"/>
  <c r="CE279" i="24"/>
  <c r="CE273" i="24"/>
  <c r="CE274" i="24"/>
  <c r="CE303" i="24"/>
  <c r="CE239" i="24"/>
  <c r="CE202" i="24"/>
  <c r="CE142" i="24"/>
  <c r="CE306" i="24"/>
  <c r="CE153" i="24"/>
  <c r="CE128" i="24"/>
  <c r="CE161" i="24"/>
  <c r="CE156" i="24"/>
  <c r="CE263" i="24"/>
  <c r="CE117" i="24"/>
  <c r="CE229" i="24"/>
  <c r="CE224" i="24"/>
  <c r="CE275" i="24"/>
  <c r="CE141" i="24"/>
  <c r="CE264" i="24"/>
  <c r="CE113" i="24"/>
  <c r="CE249" i="24"/>
  <c r="CE292" i="24"/>
  <c r="CE311" i="24"/>
  <c r="CE245" i="24"/>
  <c r="CE304" i="24"/>
  <c r="CE246" i="24"/>
  <c r="CE181" i="24"/>
  <c r="CE200" i="24"/>
  <c r="CE259" i="24"/>
  <c r="CE262" i="24"/>
  <c r="CE182" i="24"/>
  <c r="CE289" i="24"/>
  <c r="CE225" i="24"/>
  <c r="CE230" i="24"/>
  <c r="CE173" i="24"/>
  <c r="CE300" i="24"/>
  <c r="CE236" i="24"/>
  <c r="CE314" i="24"/>
  <c r="CE201" i="24"/>
  <c r="CE130" i="24"/>
  <c r="CE196" i="24"/>
  <c r="CE164" i="24"/>
  <c r="CE132" i="24"/>
  <c r="CE255" i="24"/>
  <c r="CE187" i="24"/>
  <c r="CE233" i="24"/>
  <c r="CE244" i="24"/>
  <c r="CE295" i="24"/>
  <c r="CE282" i="24"/>
  <c r="CE170" i="24"/>
  <c r="CE261" i="24"/>
  <c r="CE256" i="24"/>
  <c r="CE286" i="24"/>
  <c r="CE307" i="24"/>
  <c r="CE129" i="24"/>
  <c r="CE250" i="24"/>
  <c r="CE178" i="24"/>
  <c r="CE269" i="24"/>
  <c r="CE116" i="24"/>
  <c r="CE165" i="24"/>
  <c r="CE280" i="24"/>
  <c r="CE302" i="24"/>
  <c r="CE206" i="24"/>
  <c r="CE193" i="24"/>
  <c r="CE126" i="24"/>
  <c r="CE299" i="24"/>
  <c r="CE235" i="24"/>
  <c r="CE272" i="24"/>
  <c r="CE227" i="24"/>
  <c r="CE284" i="24"/>
  <c r="CE220" i="24"/>
  <c r="CE218" i="24"/>
  <c r="CE253" i="24"/>
  <c r="CE163" i="24"/>
  <c r="CE112" i="24"/>
  <c r="CE111" i="24"/>
  <c r="CE127" i="24"/>
  <c r="CE148" i="24"/>
  <c r="CE186" i="24"/>
  <c r="CE290" i="24"/>
  <c r="CE243" i="24"/>
  <c r="CE301" i="24"/>
  <c r="CE312" i="24"/>
  <c r="CE270" i="24"/>
  <c r="CE119" i="24"/>
  <c r="CE144" i="24"/>
  <c r="CE309" i="24"/>
  <c r="CE155" i="24"/>
  <c r="CE234" i="24"/>
  <c r="CE180" i="24"/>
  <c r="CE308" i="24"/>
  <c r="CE118" i="24"/>
  <c r="CE237" i="24"/>
  <c r="CE248" i="24"/>
  <c r="CE222" i="24"/>
  <c r="CE283" i="24"/>
  <c r="CE313" i="24"/>
  <c r="CE247" i="24"/>
  <c r="CE240" i="24"/>
  <c r="CE134" i="24"/>
  <c r="CE145" i="24"/>
  <c r="CE114" i="24"/>
  <c r="CE287" i="24"/>
  <c r="CE125" i="24"/>
  <c r="CE297" i="24"/>
  <c r="CE231" i="24"/>
  <c r="CE124" i="24"/>
  <c r="CE162" i="24"/>
  <c r="CE208" i="24"/>
  <c r="CE267" i="24"/>
  <c r="CE228" i="24"/>
  <c r="CE166" i="24"/>
  <c r="CE257" i="24"/>
  <c r="CE123" i="24"/>
  <c r="CE268" i="24"/>
  <c r="CE177" i="24"/>
  <c r="CE223" i="24"/>
  <c r="CE171" i="24"/>
  <c r="CE138" i="24"/>
  <c r="CE120" i="24"/>
  <c r="CE266" i="24"/>
  <c r="CE219" i="24"/>
  <c r="AT173" i="24"/>
  <c r="AT135" i="24"/>
  <c r="AT138" i="24"/>
  <c r="AT118" i="24"/>
  <c r="AT202" i="24"/>
  <c r="AT164" i="24"/>
  <c r="AT129" i="24"/>
  <c r="AT140" i="24"/>
  <c r="AT178" i="24"/>
  <c r="AT175" i="24"/>
  <c r="AT180" i="24"/>
  <c r="AT126" i="24"/>
  <c r="AT124" i="24"/>
  <c r="AT200" i="24"/>
  <c r="AT160" i="24"/>
  <c r="AI253" i="24"/>
  <c r="AJ253" i="24" s="1"/>
  <c r="AT253" i="24" s="1"/>
  <c r="W253" i="24"/>
  <c r="Y253" i="24" s="1"/>
  <c r="AE253" i="24"/>
  <c r="AG253" i="24" s="1"/>
  <c r="X277" i="24"/>
  <c r="AA277" i="24" s="1"/>
  <c r="AB277" i="24" s="1"/>
  <c r="AC277" i="24" s="1"/>
  <c r="AE305" i="24"/>
  <c r="AG305" i="24" s="1"/>
  <c r="AE130" i="24"/>
  <c r="AF130" i="24" s="1"/>
  <c r="W305" i="24"/>
  <c r="Y305" i="24" s="1"/>
  <c r="AI305" i="24"/>
  <c r="AJ305" i="24" s="1"/>
  <c r="AT305" i="24" s="1"/>
  <c r="X190" i="24"/>
  <c r="AA190" i="24" s="1"/>
  <c r="AB190" i="24" s="1"/>
  <c r="AC190" i="24" s="1"/>
  <c r="AJ190" i="24" s="1"/>
  <c r="AE190" i="24"/>
  <c r="AF190" i="24" s="1"/>
  <c r="W190" i="24"/>
  <c r="Y190" i="24" s="1"/>
  <c r="AI277" i="24"/>
  <c r="W277" i="24"/>
  <c r="Y277" i="24" s="1"/>
  <c r="X280" i="24"/>
  <c r="AA280" i="24" s="1"/>
  <c r="AB280" i="24" s="1"/>
  <c r="AC280" i="24" s="1"/>
  <c r="X260" i="24"/>
  <c r="AA260" i="24" s="1"/>
  <c r="AB260" i="24" s="1"/>
  <c r="AC260" i="24" s="1"/>
  <c r="AE226" i="24"/>
  <c r="AF226" i="24" s="1"/>
  <c r="X248" i="24"/>
  <c r="AA248" i="24" s="1"/>
  <c r="AB248" i="24" s="1"/>
  <c r="AC248" i="24" s="1"/>
  <c r="AE193" i="24"/>
  <c r="X244" i="24"/>
  <c r="AA244" i="24" s="1"/>
  <c r="AB244" i="24" s="1"/>
  <c r="AC244" i="24" s="1"/>
  <c r="X299" i="24"/>
  <c r="AA299" i="24" s="1"/>
  <c r="AB299" i="24" s="1"/>
  <c r="AC299" i="24" s="1"/>
  <c r="AJ299" i="24" s="1"/>
  <c r="AT299" i="24" s="1"/>
  <c r="AI248" i="24"/>
  <c r="W248" i="24"/>
  <c r="Y248" i="24" s="1"/>
  <c r="AE244" i="24"/>
  <c r="AF244" i="24" s="1"/>
  <c r="AI244" i="24"/>
  <c r="X193" i="24"/>
  <c r="AA193" i="24" s="1"/>
  <c r="AB193" i="24" s="1"/>
  <c r="AC193" i="24" s="1"/>
  <c r="AJ193" i="24" s="1"/>
  <c r="AI281" i="24"/>
  <c r="AJ281" i="24" s="1"/>
  <c r="AT281" i="24" s="1"/>
  <c r="AI262" i="24"/>
  <c r="AI217" i="24"/>
  <c r="AJ217" i="24" s="1"/>
  <c r="AT217" i="24" s="1"/>
  <c r="X283" i="24"/>
  <c r="AA283" i="24" s="1"/>
  <c r="AB283" i="24" s="1"/>
  <c r="AC283" i="24" s="1"/>
  <c r="W280" i="24"/>
  <c r="Y280" i="24" s="1"/>
  <c r="AE171" i="24"/>
  <c r="AF171" i="24" s="1"/>
  <c r="AE281" i="24"/>
  <c r="AG281" i="24" s="1"/>
  <c r="W283" i="24"/>
  <c r="Y283" i="24" s="1"/>
  <c r="AE217" i="24"/>
  <c r="AF217" i="24" s="1"/>
  <c r="X132" i="24"/>
  <c r="AA132" i="24" s="1"/>
  <c r="AB132" i="24" s="1"/>
  <c r="AC132" i="24" s="1"/>
  <c r="AJ132" i="24" s="1"/>
  <c r="AI278" i="24"/>
  <c r="AJ278" i="24" s="1"/>
  <c r="AT278" i="24" s="1"/>
  <c r="AI257" i="24"/>
  <c r="AE290" i="24"/>
  <c r="AF290" i="24" s="1"/>
  <c r="X289" i="24"/>
  <c r="AA289" i="24" s="1"/>
  <c r="AB289" i="24" s="1"/>
  <c r="AC289" i="24" s="1"/>
  <c r="W282" i="24"/>
  <c r="Y282" i="24" s="1"/>
  <c r="AE132" i="24"/>
  <c r="W156" i="24"/>
  <c r="Y156" i="24" s="1"/>
  <c r="W226" i="24"/>
  <c r="Y226" i="24" s="1"/>
  <c r="W217" i="24"/>
  <c r="Y217" i="24" s="1"/>
  <c r="W262" i="24"/>
  <c r="Y262" i="24" s="1"/>
  <c r="X226" i="24"/>
  <c r="AA226" i="24" s="1"/>
  <c r="AB226" i="24" s="1"/>
  <c r="AC226" i="24" s="1"/>
  <c r="AJ226" i="24" s="1"/>
  <c r="AT226" i="24" s="1"/>
  <c r="X171" i="24"/>
  <c r="AA171" i="24" s="1"/>
  <c r="AB171" i="24" s="1"/>
  <c r="AC171" i="24" s="1"/>
  <c r="AJ171" i="24" s="1"/>
  <c r="AI280" i="24"/>
  <c r="X262" i="24"/>
  <c r="AA262" i="24" s="1"/>
  <c r="AB262" i="24" s="1"/>
  <c r="AC262" i="24" s="1"/>
  <c r="AI283" i="24"/>
  <c r="W132" i="24"/>
  <c r="Y132" i="24" s="1"/>
  <c r="W281" i="24"/>
  <c r="Y281" i="24" s="1"/>
  <c r="X242" i="24"/>
  <c r="AA242" i="24" s="1"/>
  <c r="AB242" i="24" s="1"/>
  <c r="AC242" i="24" s="1"/>
  <c r="AJ242" i="24" s="1"/>
  <c r="AT242" i="24" s="1"/>
  <c r="W171" i="24"/>
  <c r="Y171" i="24" s="1"/>
  <c r="AE311" i="24"/>
  <c r="AF311" i="24" s="1"/>
  <c r="AI237" i="24"/>
  <c r="AJ237" i="24" s="1"/>
  <c r="AT237" i="24" s="1"/>
  <c r="X191" i="24"/>
  <c r="AA191" i="24" s="1"/>
  <c r="AB191" i="24" s="1"/>
  <c r="AC191" i="24" s="1"/>
  <c r="AJ191" i="24" s="1"/>
  <c r="X269" i="24"/>
  <c r="AA269" i="24" s="1"/>
  <c r="AB269" i="24" s="1"/>
  <c r="AC269" i="24" s="1"/>
  <c r="AJ269" i="24" s="1"/>
  <c r="AT269" i="24" s="1"/>
  <c r="W311" i="24"/>
  <c r="Y311" i="24" s="1"/>
  <c r="W252" i="24"/>
  <c r="Y252" i="24" s="1"/>
  <c r="W158" i="24"/>
  <c r="Y158" i="24" s="1"/>
  <c r="AI289" i="24"/>
  <c r="X290" i="24"/>
  <c r="AA290" i="24" s="1"/>
  <c r="AB290" i="24" s="1"/>
  <c r="AC290" i="24" s="1"/>
  <c r="AJ290" i="24" s="1"/>
  <c r="AT290" i="24" s="1"/>
  <c r="AE260" i="24"/>
  <c r="AI282" i="24"/>
  <c r="X158" i="24"/>
  <c r="AA158" i="24" s="1"/>
  <c r="AB158" i="24" s="1"/>
  <c r="AC158" i="24" s="1"/>
  <c r="AJ158" i="24" s="1"/>
  <c r="X147" i="24"/>
  <c r="AA147" i="24" s="1"/>
  <c r="AB147" i="24" s="1"/>
  <c r="AC147" i="24" s="1"/>
  <c r="AJ147" i="24" s="1"/>
  <c r="X185" i="24"/>
  <c r="AA185" i="24" s="1"/>
  <c r="AB185" i="24" s="1"/>
  <c r="AC185" i="24" s="1"/>
  <c r="AJ185" i="24" s="1"/>
  <c r="X130" i="24"/>
  <c r="AA130" i="24" s="1"/>
  <c r="AB130" i="24" s="1"/>
  <c r="AC130" i="24" s="1"/>
  <c r="AJ130" i="24" s="1"/>
  <c r="W278" i="24"/>
  <c r="Y278" i="24" s="1"/>
  <c r="AE289" i="24"/>
  <c r="W237" i="24"/>
  <c r="Y237" i="24" s="1"/>
  <c r="AI311" i="24"/>
  <c r="AJ311" i="24" s="1"/>
  <c r="AT311" i="24" s="1"/>
  <c r="X282" i="24"/>
  <c r="AA282" i="24" s="1"/>
  <c r="AB282" i="24" s="1"/>
  <c r="AC282" i="24" s="1"/>
  <c r="AE204" i="24"/>
  <c r="AF204" i="24" s="1"/>
  <c r="W290" i="24"/>
  <c r="Y290" i="24" s="1"/>
  <c r="AI260" i="24"/>
  <c r="AI308" i="24"/>
  <c r="AJ308" i="24" s="1"/>
  <c r="AT308" i="24" s="1"/>
  <c r="X257" i="24"/>
  <c r="AA257" i="24" s="1"/>
  <c r="AB257" i="24" s="1"/>
  <c r="AC257" i="24" s="1"/>
  <c r="W147" i="24"/>
  <c r="Y147" i="24" s="1"/>
  <c r="AE147" i="24"/>
  <c r="W130" i="24"/>
  <c r="Y130" i="24" s="1"/>
  <c r="W265" i="24"/>
  <c r="Y265" i="24" s="1"/>
  <c r="AE312" i="24"/>
  <c r="AF312" i="24" s="1"/>
  <c r="AE265" i="24"/>
  <c r="AF265" i="24" s="1"/>
  <c r="W166" i="24"/>
  <c r="Y166" i="24" s="1"/>
  <c r="X117" i="24"/>
  <c r="AA117" i="24" s="1"/>
  <c r="AB117" i="24" s="1"/>
  <c r="AC117" i="24" s="1"/>
  <c r="AJ117" i="24" s="1"/>
  <c r="AE191" i="24"/>
  <c r="AE158" i="24"/>
  <c r="AF158" i="24" s="1"/>
  <c r="AE151" i="24"/>
  <c r="AF151" i="24" s="1"/>
  <c r="W193" i="24"/>
  <c r="Y193" i="24" s="1"/>
  <c r="AE176" i="24"/>
  <c r="AF176" i="24" s="1"/>
  <c r="X198" i="24"/>
  <c r="AA198" i="24" s="1"/>
  <c r="AB198" i="24" s="1"/>
  <c r="AC198" i="24" s="1"/>
  <c r="AJ198" i="24" s="1"/>
  <c r="W191" i="24"/>
  <c r="Y191" i="24" s="1"/>
  <c r="X265" i="24"/>
  <c r="AA265" i="24" s="1"/>
  <c r="AB265" i="24" s="1"/>
  <c r="AC265" i="24" s="1"/>
  <c r="AJ265" i="24" s="1"/>
  <c r="AT265" i="24" s="1"/>
  <c r="W168" i="24"/>
  <c r="Y168" i="24" s="1"/>
  <c r="W146" i="24"/>
  <c r="Y146" i="24" s="1"/>
  <c r="AI312" i="24"/>
  <c r="X298" i="24"/>
  <c r="AA298" i="24" s="1"/>
  <c r="AB298" i="24" s="1"/>
  <c r="AC298" i="24" s="1"/>
  <c r="AI195" i="24"/>
  <c r="AE133" i="24"/>
  <c r="AF133" i="24" s="1"/>
  <c r="X261" i="24"/>
  <c r="AA261" i="24" s="1"/>
  <c r="AB261" i="24" s="1"/>
  <c r="AC261" i="24" s="1"/>
  <c r="W133" i="24"/>
  <c r="Y133" i="24" s="1"/>
  <c r="AE114" i="24"/>
  <c r="AI153" i="24"/>
  <c r="W232" i="24"/>
  <c r="Y232" i="24" s="1"/>
  <c r="AI270" i="24"/>
  <c r="X312" i="24"/>
  <c r="AA312" i="24" s="1"/>
  <c r="AB312" i="24" s="1"/>
  <c r="AC312" i="24" s="1"/>
  <c r="W139" i="24"/>
  <c r="Y139" i="24" s="1"/>
  <c r="AE291" i="24"/>
  <c r="AF291" i="24" s="1"/>
  <c r="AE299" i="24"/>
  <c r="AF299" i="24" s="1"/>
  <c r="AE278" i="24"/>
  <c r="AG278" i="24" s="1"/>
  <c r="W299" i="24"/>
  <c r="Y299" i="24" s="1"/>
  <c r="X291" i="24"/>
  <c r="AA291" i="24" s="1"/>
  <c r="AB291" i="24" s="1"/>
  <c r="AC291" i="24" s="1"/>
  <c r="AJ291" i="24" s="1"/>
  <c r="AT291" i="24" s="1"/>
  <c r="X252" i="24"/>
  <c r="AA252" i="24" s="1"/>
  <c r="AB252" i="24" s="1"/>
  <c r="AC252" i="24" s="1"/>
  <c r="AJ252" i="24" s="1"/>
  <c r="AT252" i="24" s="1"/>
  <c r="AE237" i="24"/>
  <c r="AG237" i="24" s="1"/>
  <c r="AE257" i="24"/>
  <c r="AF257" i="24" s="1"/>
  <c r="W204" i="24"/>
  <c r="Y204" i="24" s="1"/>
  <c r="W176" i="24"/>
  <c r="Y176" i="24" s="1"/>
  <c r="W185" i="24"/>
  <c r="Y185" i="24" s="1"/>
  <c r="X176" i="24"/>
  <c r="AA176" i="24" s="1"/>
  <c r="AB176" i="24" s="1"/>
  <c r="AC176" i="24" s="1"/>
  <c r="AJ176" i="24" s="1"/>
  <c r="AE198" i="24"/>
  <c r="AF198" i="24" s="1"/>
  <c r="W291" i="24"/>
  <c r="Y291" i="24" s="1"/>
  <c r="W267" i="24"/>
  <c r="Y267" i="24" s="1"/>
  <c r="X267" i="24"/>
  <c r="AA267" i="24" s="1"/>
  <c r="AB267" i="24" s="1"/>
  <c r="AC267" i="24" s="1"/>
  <c r="AJ267" i="24" s="1"/>
  <c r="AT267" i="24" s="1"/>
  <c r="AI238" i="24"/>
  <c r="AJ238" i="24" s="1"/>
  <c r="AT238" i="24" s="1"/>
  <c r="AI246" i="24"/>
  <c r="AJ246" i="24" s="1"/>
  <c r="AT246" i="24" s="1"/>
  <c r="X166" i="24"/>
  <c r="AA166" i="24" s="1"/>
  <c r="AB166" i="24" s="1"/>
  <c r="AC166" i="24" s="1"/>
  <c r="AJ166" i="24" s="1"/>
  <c r="W151" i="24"/>
  <c r="Y151" i="24" s="1"/>
  <c r="X120" i="24"/>
  <c r="AA120" i="24" s="1"/>
  <c r="AB120" i="24" s="1"/>
  <c r="AC120" i="24" s="1"/>
  <c r="AJ120" i="24" s="1"/>
  <c r="AE185" i="24"/>
  <c r="AF185" i="24" s="1"/>
  <c r="W198" i="24"/>
  <c r="Y198" i="24" s="1"/>
  <c r="AE232" i="24"/>
  <c r="AF232" i="24" s="1"/>
  <c r="X143" i="24"/>
  <c r="AA143" i="24" s="1"/>
  <c r="AB143" i="24" s="1"/>
  <c r="AC143" i="24" s="1"/>
  <c r="AJ143" i="24" s="1"/>
  <c r="AE209" i="24"/>
  <c r="AF209" i="24" s="1"/>
  <c r="W153" i="24"/>
  <c r="Y153" i="24" s="1"/>
  <c r="AE139" i="24"/>
  <c r="AF139" i="24" s="1"/>
  <c r="AI298" i="24"/>
  <c r="W261" i="24"/>
  <c r="Y261" i="24" s="1"/>
  <c r="X231" i="24"/>
  <c r="AA231" i="24" s="1"/>
  <c r="AB231" i="24" s="1"/>
  <c r="AC231" i="24" s="1"/>
  <c r="AJ231" i="24" s="1"/>
  <c r="AT231" i="24" s="1"/>
  <c r="AI261" i="24"/>
  <c r="W270" i="24"/>
  <c r="Y270" i="24" s="1"/>
  <c r="X195" i="24"/>
  <c r="AA195" i="24" s="1"/>
  <c r="AB195" i="24" s="1"/>
  <c r="AC195" i="24" s="1"/>
  <c r="X146" i="24"/>
  <c r="AA146" i="24" s="1"/>
  <c r="AB146" i="24" s="1"/>
  <c r="AC146" i="24" s="1"/>
  <c r="AJ146" i="24" s="1"/>
  <c r="W114" i="24"/>
  <c r="Y114" i="24" s="1"/>
  <c r="AE231" i="24"/>
  <c r="AF231" i="24" s="1"/>
  <c r="W231" i="24"/>
  <c r="Y231" i="24" s="1"/>
  <c r="X270" i="24"/>
  <c r="AA270" i="24" s="1"/>
  <c r="AB270" i="24" s="1"/>
  <c r="AC270" i="24" s="1"/>
  <c r="X168" i="24"/>
  <c r="AA168" i="24" s="1"/>
  <c r="AB168" i="24" s="1"/>
  <c r="AC168" i="24" s="1"/>
  <c r="AJ168" i="24" s="1"/>
  <c r="AE146" i="24"/>
  <c r="AF146" i="24" s="1"/>
  <c r="W195" i="24"/>
  <c r="Y195" i="24" s="1"/>
  <c r="W209" i="24"/>
  <c r="Y209" i="24" s="1"/>
  <c r="X139" i="24"/>
  <c r="AA139" i="24" s="1"/>
  <c r="AB139" i="24" s="1"/>
  <c r="AC139" i="24" s="1"/>
  <c r="AJ139" i="24" s="1"/>
  <c r="X232" i="24"/>
  <c r="AA232" i="24" s="1"/>
  <c r="AB232" i="24" s="1"/>
  <c r="AC232" i="24" s="1"/>
  <c r="AJ232" i="24" s="1"/>
  <c r="AT232" i="24" s="1"/>
  <c r="W143" i="24"/>
  <c r="Y143" i="24" s="1"/>
  <c r="AE143" i="24"/>
  <c r="AF143" i="24" s="1"/>
  <c r="X133" i="24"/>
  <c r="AA133" i="24" s="1"/>
  <c r="AB133" i="24" s="1"/>
  <c r="AC133" i="24" s="1"/>
  <c r="AJ133" i="24" s="1"/>
  <c r="X114" i="24"/>
  <c r="AA114" i="24" s="1"/>
  <c r="AB114" i="24" s="1"/>
  <c r="AC114" i="24" s="1"/>
  <c r="AJ114" i="24" s="1"/>
  <c r="X153" i="24"/>
  <c r="AA153" i="24" s="1"/>
  <c r="AB153" i="24" s="1"/>
  <c r="AC153" i="24" s="1"/>
  <c r="AE249" i="24"/>
  <c r="AG249" i="24" s="1"/>
  <c r="AI306" i="24"/>
  <c r="AE238" i="24"/>
  <c r="AG238" i="24" s="1"/>
  <c r="AE225" i="24"/>
  <c r="AE117" i="24"/>
  <c r="AF117" i="24" s="1"/>
  <c r="AI313" i="24"/>
  <c r="AJ313" i="24" s="1"/>
  <c r="AT313" i="24" s="1"/>
  <c r="W308" i="24"/>
  <c r="Y308" i="24" s="1"/>
  <c r="W269" i="24"/>
  <c r="Y269" i="24" s="1"/>
  <c r="X276" i="24"/>
  <c r="AA276" i="24" s="1"/>
  <c r="AB276" i="24" s="1"/>
  <c r="AC276" i="24" s="1"/>
  <c r="AE263" i="24"/>
  <c r="X204" i="24"/>
  <c r="AA204" i="24" s="1"/>
  <c r="AB204" i="24" s="1"/>
  <c r="AC204" i="24" s="1"/>
  <c r="AJ204" i="24" s="1"/>
  <c r="AE166" i="24"/>
  <c r="X151" i="24"/>
  <c r="AA151" i="24" s="1"/>
  <c r="AB151" i="24" s="1"/>
  <c r="AC151" i="24" s="1"/>
  <c r="AJ151" i="24" s="1"/>
  <c r="W117" i="24"/>
  <c r="Y117" i="24" s="1"/>
  <c r="AE313" i="24"/>
  <c r="AG313" i="24" s="1"/>
  <c r="W276" i="24"/>
  <c r="Y276" i="24" s="1"/>
  <c r="W263" i="24"/>
  <c r="Y263" i="24" s="1"/>
  <c r="AE246" i="24"/>
  <c r="AG246" i="24" s="1"/>
  <c r="X296" i="24"/>
  <c r="AA296" i="24" s="1"/>
  <c r="AB296" i="24" s="1"/>
  <c r="AC296" i="24" s="1"/>
  <c r="AJ296" i="24" s="1"/>
  <c r="AT296" i="24" s="1"/>
  <c r="W249" i="24"/>
  <c r="Y249" i="24" s="1"/>
  <c r="X144" i="24"/>
  <c r="AA144" i="24" s="1"/>
  <c r="AB144" i="24" s="1"/>
  <c r="AC144" i="24" s="1"/>
  <c r="AJ144" i="24" s="1"/>
  <c r="W313" i="24"/>
  <c r="Y313" i="24" s="1"/>
  <c r="AI276" i="24"/>
  <c r="AE284" i="24"/>
  <c r="AF284" i="24" s="1"/>
  <c r="X263" i="24"/>
  <c r="AA263" i="24" s="1"/>
  <c r="AB263" i="24" s="1"/>
  <c r="AC263" i="24" s="1"/>
  <c r="AJ263" i="24" s="1"/>
  <c r="AT263" i="24" s="1"/>
  <c r="AE255" i="24"/>
  <c r="AF255" i="24" s="1"/>
  <c r="X225" i="24"/>
  <c r="AA225" i="24" s="1"/>
  <c r="AB225" i="24" s="1"/>
  <c r="AC225" i="24" s="1"/>
  <c r="W296" i="24"/>
  <c r="Y296" i="24" s="1"/>
  <c r="AE296" i="24"/>
  <c r="AF296" i="24" s="1"/>
  <c r="W284" i="24"/>
  <c r="Y284" i="24" s="1"/>
  <c r="AE156" i="24"/>
  <c r="AF156" i="24" s="1"/>
  <c r="AE144" i="24"/>
  <c r="AF144" i="24" s="1"/>
  <c r="X189" i="24"/>
  <c r="AA189" i="24" s="1"/>
  <c r="AB189" i="24" s="1"/>
  <c r="AC189" i="24" s="1"/>
  <c r="AJ189" i="24" s="1"/>
  <c r="AI249" i="24"/>
  <c r="AJ249" i="24" s="1"/>
  <c r="AT249" i="24" s="1"/>
  <c r="X284" i="24"/>
  <c r="AA284" i="24" s="1"/>
  <c r="AB284" i="24" s="1"/>
  <c r="AC284" i="24" s="1"/>
  <c r="AJ284" i="24" s="1"/>
  <c r="AT284" i="24" s="1"/>
  <c r="AI295" i="24"/>
  <c r="AJ295" i="24" s="1"/>
  <c r="AT295" i="24" s="1"/>
  <c r="W246" i="24"/>
  <c r="Y246" i="24" s="1"/>
  <c r="AI225" i="24"/>
  <c r="X156" i="24"/>
  <c r="AA156" i="24" s="1"/>
  <c r="AB156" i="24" s="1"/>
  <c r="AC156" i="24" s="1"/>
  <c r="AJ156" i="24" s="1"/>
  <c r="W144" i="24"/>
  <c r="Y144" i="24" s="1"/>
  <c r="AE194" i="24"/>
  <c r="AF194" i="24" s="1"/>
  <c r="AE295" i="24"/>
  <c r="AG295" i="24" s="1"/>
  <c r="AE242" i="24"/>
  <c r="W242" i="24"/>
  <c r="Y242" i="24" s="1"/>
  <c r="W145" i="24"/>
  <c r="Y145" i="24" s="1"/>
  <c r="AE189" i="24"/>
  <c r="W295" i="24"/>
  <c r="Y295" i="24" s="1"/>
  <c r="W255" i="24"/>
  <c r="Y255" i="24" s="1"/>
  <c r="W306" i="24"/>
  <c r="Y306" i="24" s="1"/>
  <c r="AE252" i="24"/>
  <c r="AF252" i="24" s="1"/>
  <c r="X306" i="24"/>
  <c r="AA306" i="24" s="1"/>
  <c r="AB306" i="24" s="1"/>
  <c r="AC306" i="24" s="1"/>
  <c r="AE308" i="24"/>
  <c r="AF308" i="24" s="1"/>
  <c r="AE267" i="24"/>
  <c r="AF267" i="24" s="1"/>
  <c r="X255" i="24"/>
  <c r="AA255" i="24" s="1"/>
  <c r="AB255" i="24" s="1"/>
  <c r="AC255" i="24" s="1"/>
  <c r="AJ255" i="24" s="1"/>
  <c r="AT255" i="24" s="1"/>
  <c r="AE269" i="24"/>
  <c r="AE113" i="24"/>
  <c r="AF113" i="24" s="1"/>
  <c r="AE120" i="24"/>
  <c r="AF120" i="24" s="1"/>
  <c r="AE174" i="24"/>
  <c r="W298" i="24"/>
  <c r="Y298" i="24" s="1"/>
  <c r="W238" i="24"/>
  <c r="Y238" i="24" s="1"/>
  <c r="W113" i="24"/>
  <c r="Y113" i="24" s="1"/>
  <c r="AE168" i="24"/>
  <c r="X113" i="24"/>
  <c r="AA113" i="24" s="1"/>
  <c r="AB113" i="24" s="1"/>
  <c r="AC113" i="24" s="1"/>
  <c r="AJ113" i="24" s="1"/>
  <c r="W120" i="24"/>
  <c r="Y120" i="24" s="1"/>
  <c r="W189" i="24"/>
  <c r="Y189" i="24" s="1"/>
  <c r="X209" i="24"/>
  <c r="AA209" i="24" s="1"/>
  <c r="AB209" i="24" s="1"/>
  <c r="AC209" i="24" s="1"/>
  <c r="AJ209" i="24" s="1"/>
  <c r="W174" i="24"/>
  <c r="Y174" i="24" s="1"/>
  <c r="X174" i="24"/>
  <c r="AA174" i="24" s="1"/>
  <c r="AB174" i="24" s="1"/>
  <c r="AC174" i="24" s="1"/>
  <c r="AJ174" i="24" s="1"/>
  <c r="AE186" i="24"/>
  <c r="AF186" i="24" s="1"/>
  <c r="X89" i="24"/>
  <c r="AA89" i="24" s="1"/>
  <c r="AB89" i="24" s="1"/>
  <c r="AC89" i="24" s="1"/>
  <c r="W186" i="24"/>
  <c r="Y186" i="24" s="1"/>
  <c r="AE201" i="24"/>
  <c r="AF201" i="24" s="1"/>
  <c r="X112" i="24"/>
  <c r="AA112" i="24" s="1"/>
  <c r="AB112" i="24" s="1"/>
  <c r="AC112" i="24" s="1"/>
  <c r="AE150" i="24"/>
  <c r="AF150" i="24" s="1"/>
  <c r="AE179" i="24"/>
  <c r="AF179" i="24" s="1"/>
  <c r="W119" i="24"/>
  <c r="Y119" i="24" s="1"/>
  <c r="AI172" i="24"/>
  <c r="W50" i="24"/>
  <c r="Y50" i="24" s="1"/>
  <c r="W101" i="24"/>
  <c r="Y101" i="24" s="1"/>
  <c r="AE100" i="24"/>
  <c r="AF100" i="24" s="1"/>
  <c r="AE60" i="24"/>
  <c r="AF60" i="24" s="1"/>
  <c r="X25" i="24"/>
  <c r="AA25" i="24" s="1"/>
  <c r="AB25" i="24" s="1"/>
  <c r="AC25" i="24" s="1"/>
  <c r="AJ25" i="24" s="1"/>
  <c r="AE101" i="24"/>
  <c r="AF101" i="24" s="1"/>
  <c r="W150" i="24"/>
  <c r="Y150" i="24" s="1"/>
  <c r="W179" i="24"/>
  <c r="Y179" i="24" s="1"/>
  <c r="X181" i="24"/>
  <c r="AA181" i="24" s="1"/>
  <c r="AB181" i="24" s="1"/>
  <c r="AC181" i="24" s="1"/>
  <c r="X208" i="24"/>
  <c r="AA208" i="24" s="1"/>
  <c r="AB208" i="24" s="1"/>
  <c r="AC208" i="24" s="1"/>
  <c r="W128" i="24"/>
  <c r="Y128" i="24" s="1"/>
  <c r="X196" i="24"/>
  <c r="AA196" i="24" s="1"/>
  <c r="AB196" i="24" s="1"/>
  <c r="AC196" i="24" s="1"/>
  <c r="AJ196" i="24" s="1"/>
  <c r="AE128" i="24"/>
  <c r="AG128" i="24" s="1"/>
  <c r="AI112" i="24"/>
  <c r="W60" i="24"/>
  <c r="Y60" i="24" s="1"/>
  <c r="X92" i="24"/>
  <c r="AA92" i="24" s="1"/>
  <c r="AB92" i="24" s="1"/>
  <c r="AC92" i="24" s="1"/>
  <c r="W181" i="24"/>
  <c r="Y181" i="24" s="1"/>
  <c r="AI181" i="24"/>
  <c r="CD166" i="24"/>
  <c r="CD113" i="24"/>
  <c r="W154" i="24"/>
  <c r="Y154" i="24" s="1"/>
  <c r="X162" i="24"/>
  <c r="AA162" i="24" s="1"/>
  <c r="AB162" i="24" s="1"/>
  <c r="AC162" i="24" s="1"/>
  <c r="AJ162" i="24" s="1"/>
  <c r="X206" i="24"/>
  <c r="AA206" i="24" s="1"/>
  <c r="AB206" i="24" s="1"/>
  <c r="AC206" i="24" s="1"/>
  <c r="AJ206" i="24" s="1"/>
  <c r="X46" i="24"/>
  <c r="AA46" i="24" s="1"/>
  <c r="AB46" i="24" s="1"/>
  <c r="AC46" i="24" s="1"/>
  <c r="AI54" i="24"/>
  <c r="X18" i="24"/>
  <c r="AA18" i="24" s="1"/>
  <c r="AB18" i="24" s="1"/>
  <c r="AC18" i="24" s="1"/>
  <c r="W188" i="24"/>
  <c r="Y188" i="24" s="1"/>
  <c r="AI207" i="24"/>
  <c r="X157" i="24"/>
  <c r="AA157" i="24" s="1"/>
  <c r="AB157" i="24" s="1"/>
  <c r="AC157" i="24" s="1"/>
  <c r="AE137" i="24"/>
  <c r="AG137" i="24" s="1"/>
  <c r="AI18" i="24"/>
  <c r="W27" i="24"/>
  <c r="Y27" i="24" s="1"/>
  <c r="W78" i="24"/>
  <c r="Y78" i="24" s="1"/>
  <c r="X54" i="24"/>
  <c r="AA54" i="24" s="1"/>
  <c r="AB54" i="24" s="1"/>
  <c r="AC54" i="24" s="1"/>
  <c r="X95" i="24"/>
  <c r="AA95" i="24" s="1"/>
  <c r="AB95" i="24" s="1"/>
  <c r="AC95" i="24" s="1"/>
  <c r="AJ95" i="24" s="1"/>
  <c r="X148" i="24"/>
  <c r="AA148" i="24" s="1"/>
  <c r="AB148" i="24" s="1"/>
  <c r="AC148" i="24" s="1"/>
  <c r="AE125" i="24"/>
  <c r="AF125" i="24" s="1"/>
  <c r="W87" i="24"/>
  <c r="Y87" i="24" s="1"/>
  <c r="W54" i="24"/>
  <c r="Y54" i="24" s="1"/>
  <c r="W10" i="24"/>
  <c r="Y10" i="24" s="1"/>
  <c r="X10" i="24"/>
  <c r="AA10" i="24" s="1"/>
  <c r="AB10" i="24" s="1"/>
  <c r="AC10" i="24" s="1"/>
  <c r="AJ10" i="24" s="1"/>
  <c r="X199" i="24"/>
  <c r="AA199" i="24" s="1"/>
  <c r="AB199" i="24" s="1"/>
  <c r="AC199" i="24" s="1"/>
  <c r="AJ199" i="24" s="1"/>
  <c r="AE134" i="24"/>
  <c r="AF134" i="24" s="1"/>
  <c r="AE142" i="24"/>
  <c r="AG142" i="24" s="1"/>
  <c r="AE210" i="24"/>
  <c r="AF210" i="24" s="1"/>
  <c r="AI170" i="24"/>
  <c r="AJ170" i="24" s="1"/>
  <c r="W19" i="24"/>
  <c r="Y19" i="24" s="1"/>
  <c r="X36" i="24"/>
  <c r="AA36" i="24" s="1"/>
  <c r="AB36" i="24" s="1"/>
  <c r="AC36" i="24" s="1"/>
  <c r="AJ36" i="24" s="1"/>
  <c r="AE78" i="24"/>
  <c r="AG78" i="24" s="1"/>
  <c r="W157" i="24"/>
  <c r="Y157" i="24" s="1"/>
  <c r="W203" i="24"/>
  <c r="Y203" i="24" s="1"/>
  <c r="X192" i="24"/>
  <c r="AA192" i="24" s="1"/>
  <c r="AB192" i="24" s="1"/>
  <c r="AC192" i="24" s="1"/>
  <c r="AJ192" i="24" s="1"/>
  <c r="AE159" i="24"/>
  <c r="AI78" i="24"/>
  <c r="AJ78" i="24" s="1"/>
  <c r="AI203" i="24"/>
  <c r="AI165" i="24"/>
  <c r="AJ165" i="24" s="1"/>
  <c r="W31" i="24"/>
  <c r="Y31" i="24" s="1"/>
  <c r="W46" i="24"/>
  <c r="Y46" i="24" s="1"/>
  <c r="X41" i="24"/>
  <c r="AA41" i="24" s="1"/>
  <c r="AB41" i="24" s="1"/>
  <c r="AC41" i="24" s="1"/>
  <c r="AE96" i="24"/>
  <c r="AF96" i="24" s="1"/>
  <c r="X161" i="24"/>
  <c r="AA161" i="24" s="1"/>
  <c r="AB161" i="24" s="1"/>
  <c r="AC161" i="24" s="1"/>
  <c r="AJ161" i="24" s="1"/>
  <c r="X188" i="24"/>
  <c r="AA188" i="24" s="1"/>
  <c r="AB188" i="24" s="1"/>
  <c r="AC188" i="24" s="1"/>
  <c r="AJ188" i="24" s="1"/>
  <c r="W205" i="24"/>
  <c r="Y205" i="24" s="1"/>
  <c r="W182" i="24"/>
  <c r="Y182" i="24" s="1"/>
  <c r="AE205" i="24"/>
  <c r="AF205" i="24" s="1"/>
  <c r="AE170" i="24"/>
  <c r="AG170" i="24" s="1"/>
  <c r="W194" i="24"/>
  <c r="Y194" i="24" s="1"/>
  <c r="W206" i="24"/>
  <c r="Y206" i="24" s="1"/>
  <c r="W199" i="24"/>
  <c r="Y199" i="24" s="1"/>
  <c r="X50" i="24"/>
  <c r="AA50" i="24" s="1"/>
  <c r="AB50" i="24" s="1"/>
  <c r="AC50" i="24" s="1"/>
  <c r="AJ50" i="24" s="1"/>
  <c r="AI46" i="24"/>
  <c r="AI157" i="24"/>
  <c r="AE56" i="24"/>
  <c r="AG56" i="24" s="1"/>
  <c r="W165" i="24"/>
  <c r="Y165" i="24" s="1"/>
  <c r="X203" i="24"/>
  <c r="AA203" i="24" s="1"/>
  <c r="AB203" i="24" s="1"/>
  <c r="AC203" i="24" s="1"/>
  <c r="AJ203" i="24" s="1"/>
  <c r="X177" i="24"/>
  <c r="AA177" i="24" s="1"/>
  <c r="AB177" i="24" s="1"/>
  <c r="AC177" i="24" s="1"/>
  <c r="AJ177" i="24" s="1"/>
  <c r="W36" i="24"/>
  <c r="Y36" i="24" s="1"/>
  <c r="AI210" i="24"/>
  <c r="W18" i="24"/>
  <c r="Y18" i="24" s="1"/>
  <c r="AI53" i="24"/>
  <c r="AJ53" i="24" s="1"/>
  <c r="AE95" i="24"/>
  <c r="AF95" i="24" s="1"/>
  <c r="AI148" i="24"/>
  <c r="AI21" i="24"/>
  <c r="AE21" i="24"/>
  <c r="AF21" i="24" s="1"/>
  <c r="W42" i="24"/>
  <c r="Y42" i="24" s="1"/>
  <c r="W155" i="24"/>
  <c r="Y155" i="24" s="1"/>
  <c r="X187" i="24"/>
  <c r="AA187" i="24" s="1"/>
  <c r="AB187" i="24" s="1"/>
  <c r="AC187" i="24" s="1"/>
  <c r="X136" i="24"/>
  <c r="AA136" i="24" s="1"/>
  <c r="AB136" i="24" s="1"/>
  <c r="AC136" i="24" s="1"/>
  <c r="AE163" i="24"/>
  <c r="AF163" i="24" s="1"/>
  <c r="W149" i="24"/>
  <c r="Y149" i="24" s="1"/>
  <c r="X122" i="24"/>
  <c r="AA122" i="24" s="1"/>
  <c r="AB122" i="24" s="1"/>
  <c r="AC122" i="24" s="1"/>
  <c r="AE141" i="24"/>
  <c r="AF141" i="24" s="1"/>
  <c r="CD136" i="24"/>
  <c r="CD138" i="24"/>
  <c r="CD148" i="24"/>
  <c r="CD145" i="24"/>
  <c r="W136" i="24"/>
  <c r="Y136" i="24" s="1"/>
  <c r="X163" i="24"/>
  <c r="AA163" i="24" s="1"/>
  <c r="AB163" i="24" s="1"/>
  <c r="AC163" i="24" s="1"/>
  <c r="AJ163" i="24" s="1"/>
  <c r="AE145" i="24"/>
  <c r="AF145" i="24" s="1"/>
  <c r="CD133" i="24"/>
  <c r="AI83" i="24"/>
  <c r="AJ83" i="24" s="1"/>
  <c r="AI101" i="24"/>
  <c r="AJ101" i="24" s="1"/>
  <c r="AI97" i="24"/>
  <c r="AI92" i="24"/>
  <c r="AI179" i="24"/>
  <c r="AJ179" i="24" s="1"/>
  <c r="AI150" i="24"/>
  <c r="AJ150" i="24" s="1"/>
  <c r="AI208" i="24"/>
  <c r="W74" i="24"/>
  <c r="Y74" i="24" s="1"/>
  <c r="AE25" i="24"/>
  <c r="X60" i="24"/>
  <c r="AA60" i="24" s="1"/>
  <c r="AB60" i="24" s="1"/>
  <c r="AC60" i="24" s="1"/>
  <c r="AJ60" i="24" s="1"/>
  <c r="AE131" i="24"/>
  <c r="AF131" i="24" s="1"/>
  <c r="AE183" i="24"/>
  <c r="AG183" i="24" s="1"/>
  <c r="X186" i="24"/>
  <c r="AA186" i="24" s="1"/>
  <c r="AB186" i="24" s="1"/>
  <c r="AC186" i="24" s="1"/>
  <c r="AJ186" i="24" s="1"/>
  <c r="AE172" i="24"/>
  <c r="AF172" i="24" s="1"/>
  <c r="AE196" i="24"/>
  <c r="W131" i="24"/>
  <c r="Y131" i="24" s="1"/>
  <c r="AI201" i="24"/>
  <c r="W89" i="24"/>
  <c r="Y89" i="24" s="1"/>
  <c r="CD118" i="24"/>
  <c r="CD116" i="24"/>
  <c r="CD120" i="24"/>
  <c r="AI89" i="24"/>
  <c r="AI183" i="24"/>
  <c r="AJ183" i="24" s="1"/>
  <c r="W25" i="24"/>
  <c r="Y25" i="24" s="1"/>
  <c r="W82" i="24"/>
  <c r="Y82" i="24" s="1"/>
  <c r="W92" i="24"/>
  <c r="Y92" i="24" s="1"/>
  <c r="X100" i="24"/>
  <c r="AA100" i="24" s="1"/>
  <c r="AB100" i="24" s="1"/>
  <c r="AC100" i="24" s="1"/>
  <c r="AJ100" i="24" s="1"/>
  <c r="AI128" i="24"/>
  <c r="AJ128" i="24" s="1"/>
  <c r="W208" i="24"/>
  <c r="Y208" i="24" s="1"/>
  <c r="W196" i="24"/>
  <c r="Y196" i="24" s="1"/>
  <c r="AE119" i="24"/>
  <c r="AF119" i="24" s="1"/>
  <c r="AE50" i="24"/>
  <c r="AF50" i="24" s="1"/>
  <c r="CD162" i="24"/>
  <c r="CD114" i="24"/>
  <c r="CD161" i="24"/>
  <c r="CD115" i="24"/>
  <c r="CD184" i="24"/>
  <c r="CD137" i="24"/>
  <c r="AI74" i="24"/>
  <c r="AJ74" i="24" s="1"/>
  <c r="AI136" i="24"/>
  <c r="W53" i="24"/>
  <c r="Y53" i="24" s="1"/>
  <c r="W86" i="24"/>
  <c r="Y86" i="24" s="1"/>
  <c r="W95" i="24"/>
  <c r="Y95" i="24" s="1"/>
  <c r="W56" i="24"/>
  <c r="Y56" i="24" s="1"/>
  <c r="AE69" i="24"/>
  <c r="AF69" i="24" s="1"/>
  <c r="X31" i="24"/>
  <c r="AA31" i="24" s="1"/>
  <c r="AB31" i="24" s="1"/>
  <c r="AC31" i="24" s="1"/>
  <c r="X96" i="24"/>
  <c r="AA96" i="24" s="1"/>
  <c r="AB96" i="24" s="1"/>
  <c r="AC96" i="24" s="1"/>
  <c r="W183" i="24"/>
  <c r="Y183" i="24" s="1"/>
  <c r="AE188" i="24"/>
  <c r="AF188" i="24" s="1"/>
  <c r="AE112" i="24"/>
  <c r="AE199" i="24"/>
  <c r="AF199" i="24" s="1"/>
  <c r="X131" i="24"/>
  <c r="AA131" i="24" s="1"/>
  <c r="AB131" i="24" s="1"/>
  <c r="AC131" i="24" s="1"/>
  <c r="AJ131" i="24" s="1"/>
  <c r="X134" i="24"/>
  <c r="AA134" i="24" s="1"/>
  <c r="AB134" i="24" s="1"/>
  <c r="AC134" i="24" s="1"/>
  <c r="AJ134" i="24" s="1"/>
  <c r="AE123" i="24"/>
  <c r="AF123" i="24" s="1"/>
  <c r="W192" i="24"/>
  <c r="Y192" i="24" s="1"/>
  <c r="W125" i="24"/>
  <c r="Y125" i="24" s="1"/>
  <c r="W142" i="24"/>
  <c r="Y142" i="24" s="1"/>
  <c r="AE184" i="24"/>
  <c r="AF184" i="24" s="1"/>
  <c r="X152" i="24"/>
  <c r="AA152" i="24" s="1"/>
  <c r="AB152" i="24" s="1"/>
  <c r="AC152" i="24" s="1"/>
  <c r="AJ152" i="24" s="1"/>
  <c r="AE148" i="24"/>
  <c r="AF148" i="24" s="1"/>
  <c r="AE162" i="24"/>
  <c r="X116" i="24"/>
  <c r="AA116" i="24" s="1"/>
  <c r="AB116" i="24" s="1"/>
  <c r="AC116" i="24" s="1"/>
  <c r="AE192" i="24"/>
  <c r="AF192" i="24" s="1"/>
  <c r="X125" i="24"/>
  <c r="AA125" i="24" s="1"/>
  <c r="AB125" i="24" s="1"/>
  <c r="AC125" i="24" s="1"/>
  <c r="AJ125" i="24" s="1"/>
  <c r="W207" i="24"/>
  <c r="Y207" i="24" s="1"/>
  <c r="W170" i="24"/>
  <c r="Y170" i="24" s="1"/>
  <c r="X167" i="24"/>
  <c r="AA167" i="24" s="1"/>
  <c r="AB167" i="24" s="1"/>
  <c r="AC167" i="24" s="1"/>
  <c r="AJ167" i="24" s="1"/>
  <c r="X172" i="24"/>
  <c r="AA172" i="24" s="1"/>
  <c r="AB172" i="24" s="1"/>
  <c r="AC172" i="24" s="1"/>
  <c r="AE165" i="24"/>
  <c r="AG165" i="24" s="1"/>
  <c r="AE177" i="24"/>
  <c r="AF177" i="24" s="1"/>
  <c r="AE206" i="24"/>
  <c r="AF206" i="24" s="1"/>
  <c r="X194" i="24"/>
  <c r="AA194" i="24" s="1"/>
  <c r="AB194" i="24" s="1"/>
  <c r="AC194" i="24" s="1"/>
  <c r="AJ194" i="24" s="1"/>
  <c r="X210" i="24"/>
  <c r="AA210" i="24" s="1"/>
  <c r="AB210" i="24" s="1"/>
  <c r="AC210" i="24" s="1"/>
  <c r="X201" i="24"/>
  <c r="AA201" i="24" s="1"/>
  <c r="AB201" i="24" s="1"/>
  <c r="AC201" i="24" s="1"/>
  <c r="AI31" i="24"/>
  <c r="AI96" i="24"/>
  <c r="AI87" i="24"/>
  <c r="AI142" i="24"/>
  <c r="AJ142" i="24" s="1"/>
  <c r="AI169" i="24"/>
  <c r="AI205" i="24"/>
  <c r="AJ205" i="24" s="1"/>
  <c r="AE27" i="24"/>
  <c r="AF27" i="24" s="1"/>
  <c r="AE36" i="24"/>
  <c r="AF36" i="24" s="1"/>
  <c r="AE10" i="24"/>
  <c r="AF10" i="24" s="1"/>
  <c r="AE161" i="24"/>
  <c r="AF161" i="24" s="1"/>
  <c r="W134" i="24"/>
  <c r="Y134" i="24" s="1"/>
  <c r="W162" i="24"/>
  <c r="Y162" i="24" s="1"/>
  <c r="W159" i="24"/>
  <c r="Y159" i="24" s="1"/>
  <c r="X169" i="24"/>
  <c r="AA169" i="24" s="1"/>
  <c r="AB169" i="24" s="1"/>
  <c r="AC169" i="24" s="1"/>
  <c r="W137" i="24"/>
  <c r="Y137" i="24" s="1"/>
  <c r="X159" i="24"/>
  <c r="AA159" i="24" s="1"/>
  <c r="AB159" i="24" s="1"/>
  <c r="AC159" i="24" s="1"/>
  <c r="AJ159" i="24" s="1"/>
  <c r="X119" i="24"/>
  <c r="AA119" i="24" s="1"/>
  <c r="AB119" i="24" s="1"/>
  <c r="AC119" i="24" s="1"/>
  <c r="AJ119" i="24" s="1"/>
  <c r="AI56" i="24"/>
  <c r="AJ56" i="24" s="1"/>
  <c r="AE83" i="24"/>
  <c r="AG83" i="24" s="1"/>
  <c r="X40" i="24"/>
  <c r="AA40" i="24" s="1"/>
  <c r="AB40" i="24" s="1"/>
  <c r="AC40" i="24" s="1"/>
  <c r="AI116" i="24"/>
  <c r="W105" i="24"/>
  <c r="Y105" i="24" s="1"/>
  <c r="W79" i="24"/>
  <c r="Y79" i="24" s="1"/>
  <c r="AE105" i="24"/>
  <c r="AF105" i="24" s="1"/>
  <c r="X33" i="24"/>
  <c r="AA33" i="24" s="1"/>
  <c r="AB33" i="24" s="1"/>
  <c r="AC33" i="24" s="1"/>
  <c r="AE55" i="24"/>
  <c r="X87" i="24"/>
  <c r="AA87" i="24" s="1"/>
  <c r="AB87" i="24" s="1"/>
  <c r="AC87" i="24" s="1"/>
  <c r="AJ87" i="24" s="1"/>
  <c r="W161" i="24"/>
  <c r="Y161" i="24" s="1"/>
  <c r="W152" i="24"/>
  <c r="Y152" i="24" s="1"/>
  <c r="W163" i="24"/>
  <c r="Y163" i="24" s="1"/>
  <c r="AE182" i="24"/>
  <c r="AG182" i="24" s="1"/>
  <c r="X155" i="24"/>
  <c r="AA155" i="24" s="1"/>
  <c r="AB155" i="24" s="1"/>
  <c r="AC155" i="24" s="1"/>
  <c r="X123" i="24"/>
  <c r="AA123" i="24" s="1"/>
  <c r="AB123" i="24" s="1"/>
  <c r="AC123" i="24" s="1"/>
  <c r="W116" i="24"/>
  <c r="Y116" i="24" s="1"/>
  <c r="W169" i="24"/>
  <c r="Y169" i="24" s="1"/>
  <c r="W167" i="24"/>
  <c r="Y167" i="24" s="1"/>
  <c r="AE152" i="24"/>
  <c r="X115" i="24"/>
  <c r="AA115" i="24" s="1"/>
  <c r="AB115" i="24" s="1"/>
  <c r="AC115" i="24" s="1"/>
  <c r="X207" i="24"/>
  <c r="AA207" i="24" s="1"/>
  <c r="AB207" i="24" s="1"/>
  <c r="AC207" i="24" s="1"/>
  <c r="W187" i="24"/>
  <c r="Y187" i="24" s="1"/>
  <c r="W115" i="24"/>
  <c r="Y115" i="24" s="1"/>
  <c r="AE154" i="24"/>
  <c r="AG154" i="24" s="1"/>
  <c r="X149" i="24"/>
  <c r="AA149" i="24" s="1"/>
  <c r="AB149" i="24" s="1"/>
  <c r="AC149" i="24" s="1"/>
  <c r="AJ149" i="24" s="1"/>
  <c r="AE122" i="24"/>
  <c r="W177" i="24"/>
  <c r="Y177" i="24" s="1"/>
  <c r="AI145" i="24"/>
  <c r="AJ145" i="24" s="1"/>
  <c r="AI68" i="24"/>
  <c r="AE104" i="24"/>
  <c r="AF104" i="24" s="1"/>
  <c r="AI154" i="24"/>
  <c r="AJ154" i="24" s="1"/>
  <c r="AI123" i="24"/>
  <c r="AI182" i="24"/>
  <c r="AJ182" i="24" s="1"/>
  <c r="AI122" i="24"/>
  <c r="AI184" i="24"/>
  <c r="AJ184" i="24" s="1"/>
  <c r="AI141" i="24"/>
  <c r="AJ141" i="24" s="1"/>
  <c r="AE42" i="24"/>
  <c r="AF42" i="24" s="1"/>
  <c r="W184" i="24"/>
  <c r="Y184" i="24" s="1"/>
  <c r="AI155" i="24"/>
  <c r="W72" i="24"/>
  <c r="Y72" i="24" s="1"/>
  <c r="X27" i="24"/>
  <c r="AA27" i="24" s="1"/>
  <c r="AB27" i="24" s="1"/>
  <c r="AC27" i="24" s="1"/>
  <c r="AJ27" i="24" s="1"/>
  <c r="X105" i="24"/>
  <c r="AA105" i="24" s="1"/>
  <c r="AB105" i="24" s="1"/>
  <c r="AC105" i="24" s="1"/>
  <c r="AJ105" i="24" s="1"/>
  <c r="X19" i="24"/>
  <c r="AA19" i="24" s="1"/>
  <c r="AB19" i="24" s="1"/>
  <c r="AC19" i="24" s="1"/>
  <c r="AE91" i="24"/>
  <c r="AF91" i="24" s="1"/>
  <c r="AI187" i="24"/>
  <c r="AI137" i="24"/>
  <c r="AJ137" i="24" s="1"/>
  <c r="AI115" i="24"/>
  <c r="W141" i="24"/>
  <c r="Y141" i="24" s="1"/>
  <c r="AE167" i="24"/>
  <c r="AE149" i="24"/>
  <c r="AF149" i="24" s="1"/>
  <c r="X21" i="24"/>
  <c r="AA21" i="24" s="1"/>
  <c r="AB21" i="24" s="1"/>
  <c r="AC21" i="24" s="1"/>
  <c r="X42" i="24"/>
  <c r="AA42" i="24" s="1"/>
  <c r="AB42" i="24" s="1"/>
  <c r="AC42" i="24" s="1"/>
  <c r="AJ42" i="24" s="1"/>
  <c r="AI79" i="24"/>
  <c r="W63" i="24"/>
  <c r="Y63" i="24" s="1"/>
  <c r="X79" i="24"/>
  <c r="AA79" i="24" s="1"/>
  <c r="AB79" i="24" s="1"/>
  <c r="AC79" i="24" s="1"/>
  <c r="X72" i="24"/>
  <c r="AA72" i="24" s="1"/>
  <c r="AB72" i="24" s="1"/>
  <c r="AC72" i="24" s="1"/>
  <c r="AI55" i="24"/>
  <c r="AI72" i="24"/>
  <c r="W83" i="24"/>
  <c r="Y83" i="24" s="1"/>
  <c r="W40" i="24"/>
  <c r="Y40" i="24" s="1"/>
  <c r="X55" i="24"/>
  <c r="AA55" i="24" s="1"/>
  <c r="AB55" i="24" s="1"/>
  <c r="AC55" i="24" s="1"/>
  <c r="W68" i="24"/>
  <c r="Y68" i="24" s="1"/>
  <c r="W23" i="24"/>
  <c r="Y23" i="24" s="1"/>
  <c r="W41" i="24"/>
  <c r="Y41" i="24" s="1"/>
  <c r="W69" i="24"/>
  <c r="Y69" i="24" s="1"/>
  <c r="X68" i="24"/>
  <c r="AA68" i="24" s="1"/>
  <c r="AB68" i="24" s="1"/>
  <c r="AC68" i="24" s="1"/>
  <c r="X51" i="24"/>
  <c r="AA51" i="24" s="1"/>
  <c r="AB51" i="24" s="1"/>
  <c r="AC51" i="24" s="1"/>
  <c r="X97" i="24"/>
  <c r="AA97" i="24" s="1"/>
  <c r="AB97" i="24" s="1"/>
  <c r="AC97" i="24" s="1"/>
  <c r="X28" i="24"/>
  <c r="AA28" i="24" s="1"/>
  <c r="AB28" i="24" s="1"/>
  <c r="AC28" i="24" s="1"/>
  <c r="AE86" i="24"/>
  <c r="AF86" i="24" s="1"/>
  <c r="AE85" i="24"/>
  <c r="AF85" i="24" s="1"/>
  <c r="X70" i="24"/>
  <c r="AA70" i="24" s="1"/>
  <c r="AB70" i="24" s="1"/>
  <c r="AC70" i="24" s="1"/>
  <c r="AJ70" i="24" s="1"/>
  <c r="AE32" i="24"/>
  <c r="AF32" i="24" s="1"/>
  <c r="X104" i="24"/>
  <c r="AA104" i="24" s="1"/>
  <c r="AB104" i="24" s="1"/>
  <c r="AC104" i="24" s="1"/>
  <c r="AJ104" i="24" s="1"/>
  <c r="W70" i="24"/>
  <c r="Y70" i="24" s="1"/>
  <c r="AI86" i="24"/>
  <c r="AJ86" i="24" s="1"/>
  <c r="AI33" i="24"/>
  <c r="AI41" i="24"/>
  <c r="AI28" i="24"/>
  <c r="AI19" i="24"/>
  <c r="AI51" i="24"/>
  <c r="AE33" i="24"/>
  <c r="AE14" i="24"/>
  <c r="AF14" i="24" s="1"/>
  <c r="X69" i="24"/>
  <c r="AA69" i="24" s="1"/>
  <c r="AB69" i="24" s="1"/>
  <c r="AC69" i="24" s="1"/>
  <c r="AJ69" i="24" s="1"/>
  <c r="AE23" i="24"/>
  <c r="X29" i="24"/>
  <c r="AA29" i="24" s="1"/>
  <c r="AB29" i="24" s="1"/>
  <c r="AC29" i="24" s="1"/>
  <c r="W51" i="24"/>
  <c r="Y51" i="24" s="1"/>
  <c r="AE53" i="24"/>
  <c r="AF53" i="24" s="1"/>
  <c r="AI29" i="24"/>
  <c r="AI85" i="24"/>
  <c r="AJ85" i="24" s="1"/>
  <c r="W29" i="24"/>
  <c r="Y29" i="24" s="1"/>
  <c r="W85" i="24"/>
  <c r="Y85" i="24" s="1"/>
  <c r="W28" i="24"/>
  <c r="Y28" i="24" s="1"/>
  <c r="W104" i="24"/>
  <c r="Y104" i="24" s="1"/>
  <c r="AE97" i="24"/>
  <c r="AF97" i="24" s="1"/>
  <c r="AE70" i="24"/>
  <c r="AE73" i="24"/>
  <c r="AG73" i="24" s="1"/>
  <c r="AI63" i="24"/>
  <c r="AI14" i="24"/>
  <c r="AJ14" i="24" s="1"/>
  <c r="AI59" i="24"/>
  <c r="AI91" i="24"/>
  <c r="AJ91" i="24" s="1"/>
  <c r="P100" i="24"/>
  <c r="W14" i="24"/>
  <c r="Y14" i="24" s="1"/>
  <c r="AE74" i="24"/>
  <c r="AG74" i="24" s="1"/>
  <c r="AI40" i="24"/>
  <c r="AI73" i="24"/>
  <c r="AJ73" i="24" s="1"/>
  <c r="AI82" i="24"/>
  <c r="P101" i="24"/>
  <c r="P32" i="24"/>
  <c r="W100" i="24"/>
  <c r="Y100" i="24" s="1"/>
  <c r="W59" i="24"/>
  <c r="Y59" i="24" s="1"/>
  <c r="AP32" i="24"/>
  <c r="AP25" i="24"/>
  <c r="AP86" i="24"/>
  <c r="X59" i="24"/>
  <c r="AA59" i="24" s="1"/>
  <c r="AB59" i="24" s="1"/>
  <c r="AC59" i="24" s="1"/>
  <c r="X82" i="24"/>
  <c r="AA82" i="24" s="1"/>
  <c r="AB82" i="24" s="1"/>
  <c r="AC82" i="24" s="1"/>
  <c r="W32" i="24"/>
  <c r="Y32" i="24" s="1"/>
  <c r="X23" i="24"/>
  <c r="AA23" i="24" s="1"/>
  <c r="AB23" i="24" s="1"/>
  <c r="AC23" i="24" s="1"/>
  <c r="AJ23" i="24" s="1"/>
  <c r="X32" i="24"/>
  <c r="AA32" i="24" s="1"/>
  <c r="AB32" i="24" s="1"/>
  <c r="AC32" i="24" s="1"/>
  <c r="AJ32" i="24" s="1"/>
  <c r="X63" i="24"/>
  <c r="AA63" i="24" s="1"/>
  <c r="AB63" i="24" s="1"/>
  <c r="AC63" i="24" s="1"/>
  <c r="W64" i="24"/>
  <c r="Y64" i="24" s="1"/>
  <c r="W91" i="24"/>
  <c r="Y91" i="24" s="1"/>
  <c r="W73" i="24"/>
  <c r="Y73" i="24" s="1"/>
  <c r="AP104" i="24"/>
  <c r="AP100" i="24"/>
  <c r="X64" i="24"/>
  <c r="AA64" i="24" s="1"/>
  <c r="AB64" i="24" s="1"/>
  <c r="AC64" i="24" s="1"/>
  <c r="P85" i="24"/>
  <c r="P25" i="24"/>
  <c r="P104" i="24"/>
  <c r="AP33" i="24"/>
  <c r="AP78" i="24"/>
  <c r="AP69" i="24"/>
  <c r="AP23" i="24"/>
  <c r="P69" i="24"/>
  <c r="P70" i="24"/>
  <c r="P97" i="24"/>
  <c r="Q92" i="24"/>
  <c r="R92" i="24" s="1"/>
  <c r="P74" i="24"/>
  <c r="Q74" i="24"/>
  <c r="R74" i="24" s="1"/>
  <c r="Q72" i="24"/>
  <c r="R72" i="24" s="1"/>
  <c r="P29" i="24"/>
  <c r="Q29" i="24"/>
  <c r="R29" i="24" s="1"/>
  <c r="Q56" i="24"/>
  <c r="R56" i="24" s="1"/>
  <c r="P14" i="24"/>
  <c r="Q14" i="24"/>
  <c r="R14" i="24" s="1"/>
  <c r="Q50" i="24"/>
  <c r="R50" i="24" s="1"/>
  <c r="Q31" i="24"/>
  <c r="R31" i="24" s="1"/>
  <c r="AP96" i="24"/>
  <c r="Q96" i="24"/>
  <c r="R96" i="24" s="1"/>
  <c r="P73" i="24"/>
  <c r="AP19" i="24"/>
  <c r="AP70" i="24"/>
  <c r="AP21" i="24"/>
  <c r="AP73" i="24"/>
  <c r="AP68" i="24"/>
  <c r="P23" i="24"/>
  <c r="P21" i="24"/>
  <c r="Q91" i="24"/>
  <c r="R91" i="24" s="1"/>
  <c r="P83" i="24"/>
  <c r="Q83" i="24"/>
  <c r="R83" i="24" s="1"/>
  <c r="P36" i="24"/>
  <c r="Q36" i="24"/>
  <c r="Q89" i="24"/>
  <c r="R89" i="24" s="1"/>
  <c r="AP82" i="24"/>
  <c r="Q82" i="24"/>
  <c r="R82" i="24" s="1"/>
  <c r="P18" i="24"/>
  <c r="Q18" i="24"/>
  <c r="R18" i="24" s="1"/>
  <c r="Q60" i="24"/>
  <c r="R60" i="24" s="1"/>
  <c r="Q42" i="24"/>
  <c r="R42" i="24" s="1"/>
  <c r="Q40" i="24"/>
  <c r="R40" i="24" s="1"/>
  <c r="Q87" i="24"/>
  <c r="R87" i="24" s="1"/>
  <c r="P46" i="24"/>
  <c r="Q46" i="24"/>
  <c r="R46" i="24" s="1"/>
  <c r="P87" i="24"/>
  <c r="P60" i="24"/>
  <c r="P42" i="24"/>
  <c r="P40" i="24"/>
  <c r="R36" i="24"/>
  <c r="P91" i="24"/>
  <c r="J93" i="24"/>
  <c r="W93" i="24" s="1"/>
  <c r="Y93" i="24" s="1"/>
  <c r="Q93" i="24"/>
  <c r="R93" i="24" s="1"/>
  <c r="J80" i="24"/>
  <c r="J35" i="24"/>
  <c r="AI35" i="24" s="1"/>
  <c r="Q35" i="24"/>
  <c r="R35" i="24" s="1"/>
  <c r="J34" i="24"/>
  <c r="AI34" i="24" s="1"/>
  <c r="Q34" i="24"/>
  <c r="R34" i="24" s="1"/>
  <c r="J94" i="24"/>
  <c r="AE94" i="24" s="1"/>
  <c r="AF94" i="24" s="1"/>
  <c r="Q94" i="24"/>
  <c r="R94" i="24" s="1"/>
  <c r="J76" i="24"/>
  <c r="J81" i="24"/>
  <c r="AE81" i="24" s="1"/>
  <c r="AF81" i="24" s="1"/>
  <c r="Q81" i="24"/>
  <c r="R81" i="24" s="1"/>
  <c r="J66" i="24"/>
  <c r="Q66" i="24"/>
  <c r="R66" i="24" s="1"/>
  <c r="J16" i="24"/>
  <c r="W16" i="24" s="1"/>
  <c r="Y16" i="24" s="1"/>
  <c r="P16" i="24"/>
  <c r="J99" i="24"/>
  <c r="AI99" i="24" s="1"/>
  <c r="J17" i="24"/>
  <c r="AP17" i="24"/>
  <c r="J48" i="24"/>
  <c r="W48" i="24" s="1"/>
  <c r="Y48" i="24" s="1"/>
  <c r="Q48" i="24"/>
  <c r="R48" i="24" s="1"/>
  <c r="AP31" i="24"/>
  <c r="J49" i="24"/>
  <c r="AI49" i="24" s="1"/>
  <c r="Q49" i="24"/>
  <c r="R49" i="24" s="1"/>
  <c r="J20" i="24"/>
  <c r="Q20" i="24"/>
  <c r="R20" i="24" s="1"/>
  <c r="J77" i="24"/>
  <c r="AP77" i="24"/>
  <c r="J47" i="24"/>
  <c r="AI47" i="24" s="1"/>
  <c r="J67" i="24"/>
  <c r="P67" i="24"/>
  <c r="J24" i="24"/>
  <c r="Q24" i="24"/>
  <c r="R24" i="24" s="1"/>
  <c r="J8" i="24"/>
  <c r="X8" i="24" s="1"/>
  <c r="AA8" i="24" s="1"/>
  <c r="AB8" i="24" s="1"/>
  <c r="AC8" i="24" s="1"/>
  <c r="Q8" i="24"/>
  <c r="R8" i="24" s="1"/>
  <c r="J90" i="24"/>
  <c r="J88" i="24"/>
  <c r="X88" i="24" s="1"/>
  <c r="AA88" i="24" s="1"/>
  <c r="AB88" i="24" s="1"/>
  <c r="AC88" i="24" s="1"/>
  <c r="P88" i="24"/>
  <c r="P72" i="24"/>
  <c r="P96" i="24"/>
  <c r="AP14" i="24"/>
  <c r="AP92" i="24"/>
  <c r="AP74" i="24"/>
  <c r="AP29" i="24"/>
  <c r="P92" i="24"/>
  <c r="J45" i="24"/>
  <c r="J62" i="24"/>
  <c r="J22" i="24"/>
  <c r="W22" i="24" s="1"/>
  <c r="Y22" i="24" s="1"/>
  <c r="J26" i="24"/>
  <c r="W26" i="24" s="1"/>
  <c r="Y26" i="24" s="1"/>
  <c r="J52" i="24"/>
  <c r="J13" i="24"/>
  <c r="X13" i="24" s="1"/>
  <c r="AA13" i="24" s="1"/>
  <c r="AB13" i="24" s="1"/>
  <c r="AC13" i="24" s="1"/>
  <c r="J15" i="24"/>
  <c r="AI15" i="24" s="1"/>
  <c r="J84" i="24"/>
  <c r="Q84" i="24"/>
  <c r="J9" i="24"/>
  <c r="J37" i="24"/>
  <c r="AI37" i="24" s="1"/>
  <c r="AP37" i="24"/>
  <c r="J38" i="24"/>
  <c r="J39" i="24"/>
  <c r="AP39" i="24"/>
  <c r="J30" i="24"/>
  <c r="Q30" i="24"/>
  <c r="R30" i="24" s="1"/>
  <c r="P31" i="24"/>
  <c r="J12" i="24"/>
  <c r="W12" i="24" s="1"/>
  <c r="Y12" i="24" s="1"/>
  <c r="J65" i="24"/>
  <c r="AI65" i="24" s="1"/>
  <c r="J11" i="24"/>
  <c r="AI11" i="24" s="1"/>
  <c r="J102" i="24"/>
  <c r="AI102" i="24" s="1"/>
  <c r="J71" i="24"/>
  <c r="W71" i="24" s="1"/>
  <c r="Y71" i="24" s="1"/>
  <c r="J44" i="24"/>
  <c r="AE44" i="24" s="1"/>
  <c r="J43" i="24"/>
  <c r="X43" i="24" s="1"/>
  <c r="AA43" i="24" s="1"/>
  <c r="AB43" i="24" s="1"/>
  <c r="AC43" i="24" s="1"/>
  <c r="J103" i="24"/>
  <c r="J58" i="24"/>
  <c r="AI58" i="24" s="1"/>
  <c r="J75" i="24"/>
  <c r="J57" i="24"/>
  <c r="J61" i="24"/>
  <c r="X61" i="24" s="1"/>
  <c r="AA61" i="24" s="1"/>
  <c r="AB61" i="24" s="1"/>
  <c r="AC61" i="24" s="1"/>
  <c r="J98" i="24"/>
  <c r="J6" i="24"/>
  <c r="X6" i="24" s="1"/>
  <c r="AA6" i="24" s="1"/>
  <c r="AB6" i="24" s="1"/>
  <c r="AC6" i="24" s="1"/>
  <c r="J7" i="24"/>
  <c r="AP7" i="24"/>
  <c r="P55" i="24"/>
  <c r="R55" i="24"/>
  <c r="P33" i="24"/>
  <c r="R33" i="24"/>
  <c r="AP76" i="24"/>
  <c r="AP85" i="24"/>
  <c r="R97" i="24"/>
  <c r="AP89" i="24"/>
  <c r="R105" i="24"/>
  <c r="P105" i="24"/>
  <c r="R19" i="24"/>
  <c r="P19" i="24"/>
  <c r="P82" i="24"/>
  <c r="AP97" i="24"/>
  <c r="P86" i="24"/>
  <c r="R86" i="24"/>
  <c r="P54" i="24"/>
  <c r="R54" i="24"/>
  <c r="P20" i="24"/>
  <c r="AP95" i="24"/>
  <c r="P95" i="24"/>
  <c r="P80" i="24"/>
  <c r="P15" i="24"/>
  <c r="AP15" i="24"/>
  <c r="P24" i="24"/>
  <c r="AP24" i="24"/>
  <c r="P50" i="24"/>
  <c r="P47" i="24"/>
  <c r="P9" i="24"/>
  <c r="P90" i="24"/>
  <c r="P17" i="24"/>
  <c r="P38" i="24"/>
  <c r="P30" i="24"/>
  <c r="AP9" i="24"/>
  <c r="AP98" i="24"/>
  <c r="AP50" i="24"/>
  <c r="R51" i="24"/>
  <c r="P51" i="24"/>
  <c r="P59" i="24"/>
  <c r="R59" i="24"/>
  <c r="P89" i="24"/>
  <c r="P76" i="24"/>
  <c r="P66" i="24"/>
  <c r="AP51" i="24"/>
  <c r="AP58" i="24"/>
  <c r="AP66" i="24"/>
  <c r="AP47" i="24"/>
  <c r="AP38" i="24"/>
  <c r="P34" i="24"/>
  <c r="P99" i="24"/>
  <c r="P61" i="24"/>
  <c r="P37" i="24"/>
  <c r="P48" i="24"/>
  <c r="P56" i="24"/>
  <c r="AI64" i="24"/>
  <c r="AE110" i="24"/>
  <c r="AG110" i="24" s="1"/>
  <c r="AI110" i="24"/>
  <c r="AJ110" i="24" s="1"/>
  <c r="W110" i="24"/>
  <c r="Y110" i="24" s="1"/>
  <c r="CD299" i="24"/>
  <c r="CD276" i="24"/>
  <c r="CD218" i="25"/>
  <c r="CD241" i="24"/>
  <c r="CD263" i="25"/>
  <c r="CD225" i="25"/>
  <c r="CD285" i="25"/>
  <c r="CD231" i="24"/>
  <c r="CD228" i="25"/>
  <c r="CD266" i="25"/>
  <c r="CD232" i="25"/>
  <c r="CD221" i="25"/>
  <c r="CD229" i="25"/>
  <c r="CD251" i="25"/>
  <c r="CD252" i="25"/>
  <c r="CD315" i="25"/>
  <c r="CD231" i="25"/>
  <c r="CD268" i="25"/>
  <c r="CD220" i="25"/>
  <c r="CD245" i="25"/>
  <c r="CD262" i="25"/>
  <c r="CD239" i="25"/>
  <c r="CD254" i="25"/>
  <c r="CD226" i="25"/>
  <c r="CD257" i="25"/>
  <c r="CD313" i="25"/>
  <c r="CD250" i="25"/>
  <c r="AJ5" i="24"/>
  <c r="CD237" i="25"/>
  <c r="CD297" i="25"/>
  <c r="CD316" i="25"/>
  <c r="CD219" i="25"/>
  <c r="CD235" i="25"/>
  <c r="CD222" i="25"/>
  <c r="CD223" i="25"/>
  <c r="CD271" i="25"/>
  <c r="CD258" i="24"/>
  <c r="CD226" i="24"/>
  <c r="CD243" i="24"/>
  <c r="CD271" i="24"/>
  <c r="CD229" i="24"/>
  <c r="CD247" i="24"/>
  <c r="CD297" i="24"/>
  <c r="CD239" i="24"/>
  <c r="V110" i="25"/>
  <c r="X110" i="25" s="1"/>
  <c r="AG5" i="24"/>
  <c r="AN5" i="24" s="1"/>
  <c r="CD312" i="24"/>
  <c r="CD305" i="24"/>
  <c r="CD267" i="24"/>
  <c r="CD311" i="24"/>
  <c r="CD222" i="24"/>
  <c r="CD235" i="24"/>
  <c r="CD295" i="24"/>
  <c r="CD220" i="24"/>
  <c r="CD257" i="24"/>
  <c r="CD242" i="24"/>
  <c r="CD263" i="24"/>
  <c r="CD261" i="24"/>
  <c r="CD218" i="24"/>
  <c r="CD308" i="24"/>
  <c r="CD266" i="24"/>
  <c r="CD225" i="24"/>
  <c r="CD269" i="24"/>
  <c r="CD292" i="24"/>
  <c r="CD264" i="24"/>
  <c r="CD288" i="24"/>
  <c r="CD237" i="24"/>
  <c r="CD221" i="24"/>
  <c r="CD272" i="24"/>
  <c r="CD296" i="24"/>
  <c r="CD310" i="24"/>
  <c r="CD254" i="24"/>
  <c r="CD253" i="24"/>
  <c r="CD238" i="24"/>
  <c r="CD248" i="24"/>
  <c r="CD280" i="24"/>
  <c r="CD300" i="24"/>
  <c r="CD232" i="24"/>
  <c r="CD228" i="24"/>
  <c r="CD224" i="24"/>
  <c r="CD284" i="24"/>
  <c r="CD281" i="24"/>
  <c r="CD301" i="24"/>
  <c r="CD262" i="24"/>
  <c r="CD223" i="24"/>
  <c r="W110" i="25"/>
  <c r="Z110" i="25" s="1"/>
  <c r="AA110" i="25" s="1"/>
  <c r="AB110" i="25" s="1"/>
  <c r="AI110" i="25" s="1"/>
  <c r="V5" i="25"/>
  <c r="X5" i="25" s="1"/>
  <c r="CD24" i="25"/>
  <c r="CD10" i="25"/>
  <c r="CD19" i="25"/>
  <c r="CD15" i="25"/>
  <c r="CD30" i="25"/>
  <c r="CD13" i="25"/>
  <c r="CD16" i="25"/>
  <c r="CD8" i="25"/>
  <c r="W5" i="25"/>
  <c r="CD85" i="25"/>
  <c r="CD34" i="25"/>
  <c r="CD22" i="25"/>
  <c r="CD27" i="25"/>
  <c r="CD18" i="25"/>
  <c r="CD77" i="25"/>
  <c r="CD57" i="25"/>
  <c r="CD11" i="25"/>
  <c r="CD71" i="25"/>
  <c r="CD23" i="25"/>
  <c r="CD88" i="25"/>
  <c r="CD28" i="25"/>
  <c r="CD41" i="25"/>
  <c r="CD9" i="25"/>
  <c r="CD7" i="25"/>
  <c r="CD66" i="25"/>
  <c r="CD62" i="25"/>
  <c r="CD5" i="25"/>
  <c r="AF180" i="25"/>
  <c r="AF300" i="25"/>
  <c r="AF124" i="25"/>
  <c r="AF133" i="25"/>
  <c r="AF197" i="25"/>
  <c r="AF113" i="25"/>
  <c r="AF122" i="25"/>
  <c r="AF173" i="25"/>
  <c r="AF240" i="25"/>
  <c r="AF120" i="25"/>
  <c r="AF315" i="25"/>
  <c r="AF117" i="25"/>
  <c r="AF142" i="25"/>
  <c r="AF242" i="25"/>
  <c r="AF208" i="25"/>
  <c r="AF218" i="25"/>
  <c r="AF157" i="25"/>
  <c r="AF228" i="25"/>
  <c r="AF203" i="25"/>
  <c r="AF291" i="25"/>
  <c r="AF287" i="25"/>
  <c r="AF159" i="25"/>
  <c r="AF191" i="25"/>
  <c r="AF210" i="25"/>
  <c r="AF252" i="25"/>
  <c r="AF303" i="25"/>
  <c r="AF130" i="25"/>
  <c r="AF202" i="25"/>
  <c r="AF299" i="25"/>
  <c r="AF166" i="25"/>
  <c r="AF198" i="25"/>
  <c r="AF286" i="25"/>
  <c r="AF127" i="25"/>
  <c r="AF194" i="25"/>
  <c r="AF247" i="25"/>
  <c r="AF132" i="25"/>
  <c r="AF196" i="25"/>
  <c r="AF201" i="25"/>
  <c r="AF188" i="25"/>
  <c r="AF279" i="25"/>
  <c r="AF209" i="25"/>
  <c r="AF136" i="25"/>
  <c r="AF152" i="25"/>
  <c r="AF184" i="25"/>
  <c r="AF311" i="25"/>
  <c r="AF313" i="25"/>
  <c r="AF168" i="25"/>
  <c r="AF187" i="25"/>
  <c r="AF151" i="25"/>
  <c r="AF294" i="25"/>
  <c r="AF167" i="25"/>
  <c r="AF254" i="25"/>
  <c r="AF259" i="25"/>
  <c r="AF256" i="25"/>
  <c r="AF284" i="25"/>
  <c r="AF114" i="25"/>
  <c r="AF263" i="25"/>
  <c r="AF200" i="25"/>
  <c r="AF302" i="25"/>
  <c r="AF312" i="25"/>
  <c r="AF225" i="25"/>
  <c r="AF219" i="25"/>
  <c r="AF131" i="25"/>
  <c r="AF172" i="25"/>
  <c r="AF271" i="25"/>
  <c r="AF176" i="25"/>
  <c r="AF222" i="25"/>
  <c r="AF217" i="25"/>
  <c r="AF199" i="25"/>
  <c r="AF316" i="25"/>
  <c r="AF293" i="25"/>
  <c r="AF281" i="25"/>
  <c r="AF226" i="25"/>
  <c r="AF241" i="25"/>
  <c r="AF236" i="25"/>
  <c r="AF268" i="25"/>
  <c r="AF234" i="25"/>
  <c r="AF266" i="25"/>
  <c r="AF244" i="25"/>
  <c r="AF285" i="25"/>
  <c r="AF273" i="25"/>
  <c r="AF237" i="25"/>
  <c r="AF276" i="25"/>
  <c r="AF255" i="25"/>
  <c r="AF253" i="25"/>
  <c r="AF164" i="25"/>
  <c r="AF156" i="25"/>
  <c r="AF128" i="25"/>
  <c r="AF144" i="25"/>
  <c r="AF160" i="25"/>
  <c r="AF192" i="25"/>
  <c r="AF310" i="25"/>
  <c r="AF314" i="25"/>
  <c r="AF267" i="25"/>
  <c r="AF231" i="25"/>
  <c r="AF181" i="25"/>
  <c r="AF158" i="25"/>
  <c r="AF245" i="25"/>
  <c r="AF306" i="25"/>
  <c r="AF125" i="25"/>
  <c r="AF126" i="25"/>
  <c r="AF305" i="25"/>
  <c r="AF38" i="25"/>
  <c r="AF146" i="25"/>
  <c r="AF207" i="25"/>
  <c r="AF280" i="25"/>
  <c r="AF246" i="25"/>
  <c r="AF239" i="25"/>
  <c r="AF24" i="25"/>
  <c r="AF260" i="25"/>
  <c r="AF137" i="25"/>
  <c r="AF169" i="25"/>
  <c r="AF162" i="25"/>
  <c r="AF216" i="25"/>
  <c r="AF223" i="25"/>
  <c r="AF248" i="25"/>
  <c r="AF235" i="25"/>
  <c r="AF155" i="25"/>
  <c r="AF138" i="25"/>
  <c r="AF170" i="25"/>
  <c r="AF264" i="25"/>
  <c r="AF309" i="25"/>
  <c r="AF257" i="25"/>
  <c r="AF141" i="25"/>
  <c r="AF206" i="25"/>
  <c r="AF283" i="25"/>
  <c r="AF243" i="25"/>
  <c r="AF139" i="25"/>
  <c r="AF274" i="25"/>
  <c r="AF258" i="25"/>
  <c r="AF297" i="25"/>
  <c r="AF183" i="25"/>
  <c r="AF308" i="25"/>
  <c r="AF112" i="25"/>
  <c r="AF224" i="25"/>
  <c r="AF233" i="25"/>
  <c r="AF227" i="25"/>
  <c r="AF296" i="25"/>
  <c r="AF189" i="25"/>
  <c r="AF262" i="25"/>
  <c r="AF249" i="25"/>
  <c r="AF129" i="25"/>
  <c r="AF145" i="25"/>
  <c r="AF161" i="25"/>
  <c r="AF177" i="25"/>
  <c r="AF193" i="25"/>
  <c r="AF150" i="25"/>
  <c r="AF182" i="25"/>
  <c r="AF270" i="25"/>
  <c r="AF147" i="25"/>
  <c r="AF265" i="25"/>
  <c r="AF171" i="25"/>
  <c r="AF292" i="25"/>
  <c r="AF195" i="25"/>
  <c r="AF282" i="25"/>
  <c r="AF289" i="25"/>
  <c r="AF154" i="25"/>
  <c r="AF186" i="25"/>
  <c r="AF123" i="25"/>
  <c r="AF232" i="25"/>
  <c r="AF238" i="25"/>
  <c r="AF204" i="25"/>
  <c r="AF121" i="25"/>
  <c r="AF290" i="25"/>
  <c r="AF190" i="25"/>
  <c r="AF88" i="25"/>
  <c r="AF230" i="25"/>
  <c r="AF135" i="25"/>
  <c r="AF304" i="25"/>
  <c r="AF251" i="25"/>
  <c r="AF149" i="25"/>
  <c r="AF301" i="25"/>
  <c r="AF295" i="25"/>
  <c r="AF221" i="25"/>
  <c r="AF272" i="25"/>
  <c r="AF115" i="25"/>
  <c r="AF178" i="25"/>
  <c r="AF46" i="25"/>
  <c r="AF179" i="25"/>
  <c r="AF250" i="25"/>
  <c r="AF118" i="25"/>
  <c r="AF220" i="25"/>
  <c r="AF119" i="25"/>
  <c r="AF153" i="25"/>
  <c r="AF185" i="25"/>
  <c r="AF298" i="25"/>
  <c r="AF261" i="25"/>
  <c r="AF277" i="25"/>
  <c r="AF148" i="25"/>
  <c r="AF140" i="25"/>
  <c r="AF111" i="25"/>
  <c r="AF288" i="25"/>
  <c r="AF269" i="25"/>
  <c r="AF307" i="25"/>
  <c r="AF116" i="25"/>
  <c r="AF229" i="25"/>
  <c r="AF174" i="25"/>
  <c r="AF205" i="25"/>
  <c r="AF275" i="25"/>
  <c r="AF165" i="25"/>
  <c r="AF278" i="25"/>
  <c r="AF143" i="25"/>
  <c r="AF175" i="25"/>
  <c r="AF134" i="25"/>
  <c r="AF163" i="25"/>
  <c r="AF39" i="25"/>
  <c r="AF65" i="25"/>
  <c r="AF33" i="25"/>
  <c r="AF19" i="25"/>
  <c r="AF53" i="25"/>
  <c r="AF94" i="25"/>
  <c r="AF102" i="25"/>
  <c r="AF69" i="25"/>
  <c r="AF28" i="25"/>
  <c r="AF79" i="25"/>
  <c r="AF29" i="25"/>
  <c r="AF85" i="25"/>
  <c r="AF41" i="25"/>
  <c r="AF75" i="25"/>
  <c r="AF91" i="25"/>
  <c r="AF95" i="25"/>
  <c r="AF16" i="25"/>
  <c r="AF93" i="25"/>
  <c r="AF97" i="25"/>
  <c r="AF101" i="25"/>
  <c r="AF105" i="25"/>
  <c r="AF45" i="25"/>
  <c r="AF58" i="25"/>
  <c r="AF43" i="25"/>
  <c r="AF56" i="25"/>
  <c r="AF86" i="25"/>
  <c r="AF13" i="25"/>
  <c r="AF71" i="25"/>
  <c r="AF72" i="25"/>
  <c r="AF87" i="25"/>
  <c r="AF21" i="25"/>
  <c r="AF98" i="25"/>
  <c r="AF89" i="25"/>
  <c r="AF6" i="25"/>
  <c r="AF10" i="25"/>
  <c r="AF61" i="25"/>
  <c r="AF15" i="25"/>
  <c r="AF67" i="25"/>
  <c r="AF54" i="25"/>
  <c r="AF26" i="25"/>
  <c r="AF32" i="25"/>
  <c r="AF103" i="25"/>
  <c r="AF81" i="25"/>
  <c r="AF99" i="25"/>
  <c r="AF37" i="25"/>
  <c r="AF20" i="25"/>
  <c r="AF70" i="25"/>
  <c r="AF74" i="25"/>
  <c r="AF18" i="25"/>
  <c r="AF42" i="25"/>
  <c r="AF48" i="25"/>
  <c r="AF80" i="25"/>
  <c r="AF78" i="25"/>
  <c r="AF27" i="25"/>
  <c r="AF47" i="25"/>
  <c r="AF63" i="25"/>
  <c r="AF57" i="25"/>
  <c r="AF73" i="25"/>
  <c r="AF31" i="25"/>
  <c r="AF51" i="25"/>
  <c r="AF92" i="25"/>
  <c r="AF104" i="25"/>
  <c r="AF52" i="25"/>
  <c r="AF82" i="25"/>
  <c r="AF60" i="25"/>
  <c r="AF90" i="25"/>
  <c r="AF66" i="25"/>
  <c r="AF76" i="25"/>
  <c r="AF30" i="25"/>
  <c r="AF8" i="25"/>
  <c r="AF17" i="25"/>
  <c r="AF34" i="25"/>
  <c r="AF23" i="25"/>
  <c r="AF50" i="25"/>
  <c r="AF59" i="25"/>
  <c r="AF44" i="25"/>
  <c r="AF40" i="25"/>
  <c r="AF22" i="25"/>
  <c r="AF35" i="25"/>
  <c r="AF12" i="25"/>
  <c r="AF64" i="25"/>
  <c r="AF62" i="25"/>
  <c r="AF14" i="25"/>
  <c r="AF25" i="25"/>
  <c r="AF77" i="25"/>
  <c r="AF7" i="25"/>
  <c r="AF11" i="25"/>
  <c r="AF83" i="25"/>
  <c r="AF49" i="25"/>
  <c r="AF84" i="25"/>
  <c r="AF55" i="25"/>
  <c r="AF96" i="25"/>
  <c r="AF100" i="25"/>
  <c r="AF9" i="25"/>
  <c r="AF36" i="25"/>
  <c r="AF68" i="25"/>
  <c r="AB277" i="25"/>
  <c r="AI277" i="25" s="1"/>
  <c r="AS277" i="25" s="1"/>
  <c r="AB232" i="25"/>
  <c r="AI232" i="25" s="1"/>
  <c r="AS232" i="25" s="1"/>
  <c r="AB238" i="25"/>
  <c r="AI238" i="25" s="1"/>
  <c r="AS238" i="25" s="1"/>
  <c r="AB204" i="25"/>
  <c r="AI204" i="25" s="1"/>
  <c r="AB197" i="25"/>
  <c r="AI197" i="25" s="1"/>
  <c r="AB122" i="25"/>
  <c r="AI122" i="25" s="1"/>
  <c r="AB294" i="25"/>
  <c r="AI294" i="25" s="1"/>
  <c r="AS294" i="25" s="1"/>
  <c r="AB117" i="25"/>
  <c r="AI117" i="25" s="1"/>
  <c r="AB243" i="25"/>
  <c r="AI243" i="25" s="1"/>
  <c r="AS243" i="25" s="1"/>
  <c r="AB139" i="25"/>
  <c r="AI139" i="25" s="1"/>
  <c r="AB301" i="25"/>
  <c r="AI301" i="25" s="1"/>
  <c r="AS301" i="25" s="1"/>
  <c r="AB259" i="25"/>
  <c r="AI259" i="25" s="1"/>
  <c r="AS259" i="25" s="1"/>
  <c r="AB226" i="25"/>
  <c r="AI226" i="25" s="1"/>
  <c r="AS226" i="25" s="1"/>
  <c r="AB112" i="25"/>
  <c r="AI112" i="25" s="1"/>
  <c r="AB128" i="25"/>
  <c r="AI128" i="25" s="1"/>
  <c r="AB144" i="25"/>
  <c r="AI144" i="25" s="1"/>
  <c r="AB160" i="25"/>
  <c r="AI160" i="25" s="1"/>
  <c r="AB229" i="25"/>
  <c r="AI229" i="25" s="1"/>
  <c r="AS229" i="25" s="1"/>
  <c r="AB287" i="25"/>
  <c r="AI287" i="25" s="1"/>
  <c r="AS287" i="25" s="1"/>
  <c r="AB159" i="25"/>
  <c r="AI159" i="25" s="1"/>
  <c r="AB191" i="25"/>
  <c r="AI191" i="25" s="1"/>
  <c r="AB249" i="25"/>
  <c r="AI249" i="25" s="1"/>
  <c r="AS249" i="25" s="1"/>
  <c r="AB129" i="25"/>
  <c r="AI129" i="25" s="1"/>
  <c r="AB193" i="25"/>
  <c r="AI193" i="25" s="1"/>
  <c r="AB250" i="25"/>
  <c r="AI250" i="25" s="1"/>
  <c r="AS250" i="25" s="1"/>
  <c r="AB311" i="25"/>
  <c r="AI311" i="25" s="1"/>
  <c r="AS311" i="25" s="1"/>
  <c r="AB260" i="25"/>
  <c r="AI260" i="25" s="1"/>
  <c r="AS260" i="25" s="1"/>
  <c r="AB219" i="25"/>
  <c r="AI219" i="25" s="1"/>
  <c r="AS219" i="25" s="1"/>
  <c r="AB187" i="25"/>
  <c r="AI187" i="25" s="1"/>
  <c r="AB222" i="25"/>
  <c r="AI222" i="25" s="1"/>
  <c r="AS222" i="25" s="1"/>
  <c r="AB264" i="25"/>
  <c r="AI264" i="25" s="1"/>
  <c r="AS264" i="25" s="1"/>
  <c r="AB290" i="25"/>
  <c r="AI290" i="25" s="1"/>
  <c r="AS290" i="25" s="1"/>
  <c r="AB295" i="25"/>
  <c r="AI295" i="25" s="1"/>
  <c r="AS295" i="25" s="1"/>
  <c r="AB245" i="25"/>
  <c r="AI245" i="25" s="1"/>
  <c r="AS245" i="25" s="1"/>
  <c r="AB125" i="25"/>
  <c r="AI125" i="25" s="1"/>
  <c r="AB192" i="25"/>
  <c r="AI192" i="25" s="1"/>
  <c r="AB307" i="25"/>
  <c r="AI307" i="25" s="1"/>
  <c r="AS307" i="25" s="1"/>
  <c r="AB116" i="25"/>
  <c r="AI116" i="25" s="1"/>
  <c r="AB280" i="25"/>
  <c r="AI280" i="25" s="1"/>
  <c r="AS280" i="25" s="1"/>
  <c r="AB262" i="25"/>
  <c r="AI262" i="25" s="1"/>
  <c r="AS262" i="25" s="1"/>
  <c r="AB244" i="25"/>
  <c r="AI244" i="25" s="1"/>
  <c r="AS244" i="25" s="1"/>
  <c r="AB210" i="25"/>
  <c r="AI210" i="25" s="1"/>
  <c r="AB302" i="25"/>
  <c r="AI302" i="25" s="1"/>
  <c r="AS302" i="25" s="1"/>
  <c r="AB145" i="25"/>
  <c r="AI145" i="25" s="1"/>
  <c r="AB239" i="25"/>
  <c r="AI239" i="25" s="1"/>
  <c r="AS239" i="25" s="1"/>
  <c r="AB270" i="25"/>
  <c r="AI270" i="25" s="1"/>
  <c r="AS270" i="25" s="1"/>
  <c r="AB118" i="25"/>
  <c r="AI118" i="25" s="1"/>
  <c r="AB119" i="25"/>
  <c r="AI119" i="25" s="1"/>
  <c r="AB195" i="25"/>
  <c r="AI195" i="25" s="1"/>
  <c r="AB313" i="25"/>
  <c r="AI313" i="25" s="1"/>
  <c r="AS313" i="25" s="1"/>
  <c r="AB267" i="25"/>
  <c r="AI267" i="25" s="1"/>
  <c r="AS267" i="25" s="1"/>
  <c r="AB248" i="25"/>
  <c r="AI248" i="25" s="1"/>
  <c r="AS248" i="25" s="1"/>
  <c r="AB235" i="25"/>
  <c r="AI235" i="25" s="1"/>
  <c r="AS235" i="25" s="1"/>
  <c r="AB155" i="25"/>
  <c r="AI155" i="25" s="1"/>
  <c r="AB123" i="25"/>
  <c r="AI123" i="25" s="1"/>
  <c r="AB300" i="25"/>
  <c r="AI300" i="25" s="1"/>
  <c r="AS300" i="25" s="1"/>
  <c r="AB190" i="25"/>
  <c r="AI190" i="25" s="1"/>
  <c r="AB293" i="25"/>
  <c r="AI293" i="25" s="1"/>
  <c r="AS293" i="25" s="1"/>
  <c r="AB141" i="25"/>
  <c r="AI141" i="25" s="1"/>
  <c r="AB206" i="25"/>
  <c r="AI206" i="25" s="1"/>
  <c r="AB304" i="25"/>
  <c r="AI304" i="25" s="1"/>
  <c r="AS304" i="25" s="1"/>
  <c r="AB231" i="25"/>
  <c r="AI231" i="25" s="1"/>
  <c r="AS231" i="25" s="1"/>
  <c r="AB149" i="25"/>
  <c r="AI149" i="25" s="1"/>
  <c r="AB181" i="25"/>
  <c r="AI181" i="25" s="1"/>
  <c r="AB242" i="25"/>
  <c r="AI242" i="25" s="1"/>
  <c r="AS242" i="25" s="1"/>
  <c r="AB208" i="25"/>
  <c r="AI208" i="25" s="1"/>
  <c r="AB218" i="25"/>
  <c r="AI218" i="25" s="1"/>
  <c r="AS218" i="25" s="1"/>
  <c r="AB258" i="25"/>
  <c r="AI258" i="25" s="1"/>
  <c r="AS258" i="25" s="1"/>
  <c r="AB221" i="25"/>
  <c r="AI221" i="25" s="1"/>
  <c r="AS221" i="25" s="1"/>
  <c r="AB136" i="25"/>
  <c r="AI136" i="25" s="1"/>
  <c r="AB152" i="25"/>
  <c r="AI152" i="25" s="1"/>
  <c r="AB146" i="25"/>
  <c r="AI146" i="25" s="1"/>
  <c r="AB236" i="25"/>
  <c r="AI236" i="25" s="1"/>
  <c r="AS236" i="25" s="1"/>
  <c r="AB268" i="25"/>
  <c r="AI268" i="25" s="1"/>
  <c r="AS268" i="25" s="1"/>
  <c r="AB233" i="25"/>
  <c r="AI233" i="25" s="1"/>
  <c r="AS233" i="25" s="1"/>
  <c r="AB263" i="25"/>
  <c r="AI263" i="25" s="1"/>
  <c r="AS263" i="25" s="1"/>
  <c r="AB296" i="25"/>
  <c r="AI296" i="25" s="1"/>
  <c r="AS296" i="25" s="1"/>
  <c r="AB273" i="25"/>
  <c r="AI273" i="25" s="1"/>
  <c r="AS273" i="25" s="1"/>
  <c r="AB161" i="25"/>
  <c r="AI161" i="25" s="1"/>
  <c r="AB179" i="25"/>
  <c r="AI179" i="25" s="1"/>
  <c r="AB176" i="25"/>
  <c r="AI176" i="25" s="1"/>
  <c r="AB130" i="25"/>
  <c r="AI130" i="25" s="1"/>
  <c r="AB143" i="25"/>
  <c r="AI143" i="25" s="1"/>
  <c r="AB175" i="25"/>
  <c r="AI175" i="25" s="1"/>
  <c r="AB299" i="25"/>
  <c r="AI299" i="25" s="1"/>
  <c r="AS299" i="25" s="1"/>
  <c r="AB163" i="25"/>
  <c r="AI163" i="25" s="1"/>
  <c r="AB223" i="25"/>
  <c r="AI223" i="25" s="1"/>
  <c r="AS223" i="25" s="1"/>
  <c r="AB309" i="25"/>
  <c r="AI309" i="25" s="1"/>
  <c r="AS309" i="25" s="1"/>
  <c r="AB133" i="25"/>
  <c r="AI133" i="25" s="1"/>
  <c r="AB281" i="25"/>
  <c r="AI281" i="25" s="1"/>
  <c r="AS281" i="25" s="1"/>
  <c r="AB228" i="25"/>
  <c r="AI228" i="25" s="1"/>
  <c r="AS228" i="25" s="1"/>
  <c r="AB297" i="25"/>
  <c r="AI297" i="25" s="1"/>
  <c r="AS297" i="25" s="1"/>
  <c r="AB305" i="25"/>
  <c r="AI305" i="25" s="1"/>
  <c r="AS305" i="25" s="1"/>
  <c r="AB227" i="25"/>
  <c r="AI227" i="25" s="1"/>
  <c r="AS227" i="25" s="1"/>
  <c r="AB234" i="25"/>
  <c r="AI234" i="25" s="1"/>
  <c r="AS234" i="25" s="1"/>
  <c r="AB200" i="25"/>
  <c r="AI200" i="25" s="1"/>
  <c r="AB266" i="25"/>
  <c r="AI266" i="25" s="1"/>
  <c r="AS266" i="25" s="1"/>
  <c r="AB174" i="25"/>
  <c r="AI174" i="25" s="1"/>
  <c r="AB246" i="25"/>
  <c r="AI246" i="25" s="1"/>
  <c r="AS246" i="25" s="1"/>
  <c r="AB285" i="25"/>
  <c r="AI285" i="25" s="1"/>
  <c r="AS285" i="25" s="1"/>
  <c r="AB177" i="25"/>
  <c r="AI177" i="25" s="1"/>
  <c r="AB147" i="25"/>
  <c r="AI147" i="25" s="1"/>
  <c r="AB237" i="25"/>
  <c r="AI237" i="25" s="1"/>
  <c r="AS237" i="25" s="1"/>
  <c r="AB252" i="25"/>
  <c r="AI252" i="25" s="1"/>
  <c r="AS252" i="25" s="1"/>
  <c r="AB303" i="25"/>
  <c r="AI303" i="25" s="1"/>
  <c r="AS303" i="25" s="1"/>
  <c r="AB225" i="25"/>
  <c r="AI225" i="25" s="1"/>
  <c r="AS225" i="25" s="1"/>
  <c r="AB131" i="25"/>
  <c r="AI131" i="25" s="1"/>
  <c r="AI70" i="25"/>
  <c r="AI69" i="25"/>
  <c r="AI64" i="25"/>
  <c r="AI11" i="25"/>
  <c r="AI61" i="25"/>
  <c r="AI31" i="25"/>
  <c r="AI51" i="25"/>
  <c r="AI81" i="25"/>
  <c r="AI93" i="25"/>
  <c r="AI97" i="25"/>
  <c r="AI101" i="25"/>
  <c r="AI105" i="25"/>
  <c r="AI86" i="25"/>
  <c r="AI71" i="25"/>
  <c r="AI42" i="25"/>
  <c r="AI28" i="25"/>
  <c r="AI62" i="25"/>
  <c r="AI15" i="25"/>
  <c r="AI67" i="25"/>
  <c r="AI103" i="25"/>
  <c r="AI96" i="25"/>
  <c r="AI100" i="25"/>
  <c r="AI8" i="25"/>
  <c r="AI30" i="25"/>
  <c r="AI20" i="25"/>
  <c r="AI59" i="25"/>
  <c r="AI21" i="25"/>
  <c r="AI48" i="25"/>
  <c r="AI79" i="25"/>
  <c r="AI83" i="25"/>
  <c r="AI41" i="25"/>
  <c r="AI17" i="25"/>
  <c r="AI88" i="25"/>
  <c r="AI53" i="25"/>
  <c r="AI94" i="25"/>
  <c r="AI102" i="25"/>
  <c r="AI22" i="25"/>
  <c r="AI35" i="25"/>
  <c r="AI78" i="25"/>
  <c r="AI27" i="25"/>
  <c r="AI47" i="25"/>
  <c r="AI63" i="25"/>
  <c r="AI92" i="25"/>
  <c r="AI104" i="25"/>
  <c r="AI9" i="25"/>
  <c r="AI52" i="25"/>
  <c r="AI216" i="25"/>
  <c r="AS216" i="25" s="1"/>
  <c r="X76" i="25"/>
  <c r="X73" i="25"/>
  <c r="X75" i="25"/>
  <c r="X111" i="25"/>
  <c r="X316" i="25"/>
  <c r="X45" i="25"/>
  <c r="X86" i="25"/>
  <c r="AI199" i="25"/>
  <c r="X124" i="25"/>
  <c r="X50" i="25"/>
  <c r="X19" i="25"/>
  <c r="X164" i="25"/>
  <c r="X299" i="25"/>
  <c r="AI114" i="25"/>
  <c r="X252" i="25"/>
  <c r="AI278" i="25"/>
  <c r="AS278" i="25" s="1"/>
  <c r="AI138" i="25"/>
  <c r="X125" i="25"/>
  <c r="X225" i="25"/>
  <c r="X72" i="25"/>
  <c r="X33" i="25"/>
  <c r="X17" i="25"/>
  <c r="X23" i="25"/>
  <c r="X98" i="25"/>
  <c r="X20" i="25"/>
  <c r="X277" i="25"/>
  <c r="X172" i="25"/>
  <c r="X44" i="25"/>
  <c r="X132" i="25"/>
  <c r="X196" i="25"/>
  <c r="X122" i="25"/>
  <c r="X204" i="25"/>
  <c r="X79" i="25"/>
  <c r="X24" i="25"/>
  <c r="X60" i="25"/>
  <c r="X49" i="25"/>
  <c r="X171" i="25"/>
  <c r="X208" i="25"/>
  <c r="X269" i="25"/>
  <c r="X300" i="25"/>
  <c r="X18" i="25"/>
  <c r="X99" i="25"/>
  <c r="X83" i="25"/>
  <c r="X179" i="25"/>
  <c r="X136" i="25"/>
  <c r="X184" i="25"/>
  <c r="X41" i="25"/>
  <c r="X81" i="25"/>
  <c r="X29" i="25"/>
  <c r="X85" i="25"/>
  <c r="X31" i="25"/>
  <c r="X96" i="25"/>
  <c r="X104" i="25"/>
  <c r="X313" i="25"/>
  <c r="X144" i="25"/>
  <c r="AI196" i="25"/>
  <c r="X52" i="25"/>
  <c r="X84" i="25"/>
  <c r="X147" i="25"/>
  <c r="X152" i="25"/>
  <c r="X153" i="25"/>
  <c r="X182" i="25"/>
  <c r="X149" i="25"/>
  <c r="X46" i="25"/>
  <c r="X68" i="25"/>
  <c r="X82" i="25"/>
  <c r="X70" i="25"/>
  <c r="X209" i="25"/>
  <c r="X315" i="25"/>
  <c r="X54" i="25"/>
  <c r="X16" i="25"/>
  <c r="X32" i="25"/>
  <c r="X67" i="25"/>
  <c r="X200" i="25"/>
  <c r="AI312" i="25"/>
  <c r="AS312" i="25" s="1"/>
  <c r="AI310" i="25"/>
  <c r="AS310" i="25" s="1"/>
  <c r="AI24" i="25"/>
  <c r="X57" i="25"/>
  <c r="X61" i="25"/>
  <c r="X92" i="25"/>
  <c r="X100" i="25"/>
  <c r="AI36" i="25"/>
  <c r="AI68" i="25"/>
  <c r="AI253" i="25"/>
  <c r="AS253" i="25" s="1"/>
  <c r="AI207" i="25"/>
  <c r="AI201" i="25"/>
  <c r="X290" i="25"/>
  <c r="AI76" i="25"/>
  <c r="X288" i="25"/>
  <c r="AI14" i="25"/>
  <c r="X224" i="25"/>
  <c r="X284" i="25"/>
  <c r="AI38" i="25"/>
  <c r="X174" i="25"/>
  <c r="AI54" i="25"/>
  <c r="X146" i="25"/>
  <c r="X253" i="25"/>
  <c r="AI275" i="25"/>
  <c r="AS275" i="25" s="1"/>
  <c r="AI82" i="25"/>
  <c r="X236" i="25"/>
  <c r="X263" i="25"/>
  <c r="AI168" i="25"/>
  <c r="AI156" i="25"/>
  <c r="AI172" i="25"/>
  <c r="AI132" i="25"/>
  <c r="AI180" i="25"/>
  <c r="AI37" i="25"/>
  <c r="AI56" i="25"/>
  <c r="AI279" i="25"/>
  <c r="AS279" i="25" s="1"/>
  <c r="AI44" i="25"/>
  <c r="AI274" i="25"/>
  <c r="AS274" i="25" s="1"/>
  <c r="AI6" i="25"/>
  <c r="AI298" i="25"/>
  <c r="AS298" i="25" s="1"/>
  <c r="X87" i="25"/>
  <c r="X183" i="25"/>
  <c r="AI135" i="25"/>
  <c r="X308" i="25"/>
  <c r="X121" i="25"/>
  <c r="X155" i="25"/>
  <c r="X37" i="25"/>
  <c r="X123" i="25"/>
  <c r="X180" i="25"/>
  <c r="AI87" i="25"/>
  <c r="X165" i="25"/>
  <c r="X189" i="25"/>
  <c r="AI142" i="25"/>
  <c r="X258" i="25"/>
  <c r="X245" i="25"/>
  <c r="X12" i="25"/>
  <c r="X43" i="25"/>
  <c r="X231" i="25"/>
  <c r="X243" i="25"/>
  <c r="X301" i="25"/>
  <c r="X22" i="25"/>
  <c r="X42" i="25"/>
  <c r="X78" i="25"/>
  <c r="X114" i="25"/>
  <c r="X115" i="25"/>
  <c r="AI288" i="25"/>
  <c r="AS288" i="25" s="1"/>
  <c r="AI115" i="25"/>
  <c r="X168" i="25"/>
  <c r="X178" i="25"/>
  <c r="AI271" i="25"/>
  <c r="AS271" i="25" s="1"/>
  <c r="X7" i="25"/>
  <c r="X11" i="25"/>
  <c r="AI29" i="25"/>
  <c r="X273" i="25"/>
  <c r="X307" i="25"/>
  <c r="AI26" i="25"/>
  <c r="X118" i="25"/>
  <c r="X304" i="25"/>
  <c r="X278" i="25"/>
  <c r="X303" i="25"/>
  <c r="X221" i="25"/>
  <c r="X163" i="25"/>
  <c r="X210" i="25"/>
  <c r="X233" i="25"/>
  <c r="X271" i="25"/>
  <c r="X62" i="25"/>
  <c r="AI162" i="25"/>
  <c r="X205" i="25"/>
  <c r="X186" i="25"/>
  <c r="X240" i="25"/>
  <c r="X58" i="25"/>
  <c r="X74" i="25"/>
  <c r="AI13" i="25"/>
  <c r="AI230" i="25"/>
  <c r="AS230" i="25" s="1"/>
  <c r="X167" i="25"/>
  <c r="X187" i="25"/>
  <c r="X30" i="25"/>
  <c r="X113" i="25"/>
  <c r="X274" i="25"/>
  <c r="X156" i="25"/>
  <c r="X295" i="25"/>
  <c r="X228" i="25"/>
  <c r="X21" i="25"/>
  <c r="AI158" i="25"/>
  <c r="AI40" i="25"/>
  <c r="AI12" i="25"/>
  <c r="X112" i="25"/>
  <c r="X27" i="25"/>
  <c r="X47" i="25"/>
  <c r="X63" i="25"/>
  <c r="X126" i="25"/>
  <c r="X203" i="25"/>
  <c r="X306" i="25"/>
  <c r="X35" i="25"/>
  <c r="X80" i="25"/>
  <c r="X151" i="25"/>
  <c r="X25" i="25"/>
  <c r="X176" i="25"/>
  <c r="X36" i="25"/>
  <c r="X66" i="25"/>
  <c r="X239" i="25"/>
  <c r="X275" i="25"/>
  <c r="AI49" i="25"/>
  <c r="X272" i="25"/>
  <c r="X202" i="25"/>
  <c r="X310" i="25"/>
  <c r="X266" i="25"/>
  <c r="X314" i="25"/>
  <c r="X94" i="25"/>
  <c r="X103" i="25"/>
  <c r="X160" i="25"/>
  <c r="X15" i="25"/>
  <c r="X131" i="25"/>
  <c r="X195" i="25"/>
  <c r="AI91" i="25"/>
  <c r="X302" i="25"/>
  <c r="X166" i="25"/>
  <c r="AI255" i="25"/>
  <c r="AS255" i="25" s="1"/>
  <c r="X234" i="25"/>
  <c r="X192" i="25"/>
  <c r="AI154" i="25"/>
  <c r="X217" i="25"/>
  <c r="AI121" i="25"/>
  <c r="AI124" i="25"/>
  <c r="X283" i="25"/>
  <c r="X257" i="25"/>
  <c r="AI72" i="25"/>
  <c r="X235" i="25"/>
  <c r="AI241" i="25"/>
  <c r="AS241" i="25" s="1"/>
  <c r="AI126" i="25"/>
  <c r="X281" i="25"/>
  <c r="AI77" i="25"/>
  <c r="X244" i="25"/>
  <c r="AI85" i="25"/>
  <c r="X162" i="25"/>
  <c r="AI291" i="25"/>
  <c r="AS291" i="25" s="1"/>
  <c r="X262" i="25"/>
  <c r="X169" i="25"/>
  <c r="X247" i="25"/>
  <c r="AI165" i="25"/>
  <c r="X255" i="25"/>
  <c r="AI202" i="25"/>
  <c r="X129" i="25"/>
  <c r="X161" i="25"/>
  <c r="X177" i="25"/>
  <c r="X193" i="25"/>
  <c r="AI286" i="25"/>
  <c r="AS286" i="25" s="1"/>
  <c r="AI148" i="25"/>
  <c r="AI186" i="25"/>
  <c r="X230" i="25"/>
  <c r="AI188" i="25"/>
  <c r="X138" i="25"/>
  <c r="X254" i="25"/>
  <c r="X241" i="25"/>
  <c r="X267" i="25"/>
  <c r="X8" i="25"/>
  <c r="AI113" i="25"/>
  <c r="AI217" i="25"/>
  <c r="AS217" i="25" s="1"/>
  <c r="X157" i="25"/>
  <c r="X158" i="25"/>
  <c r="AI316" i="25"/>
  <c r="AS316" i="25" s="1"/>
  <c r="AI34" i="25"/>
  <c r="AI120" i="25"/>
  <c r="X248" i="25"/>
  <c r="AI167" i="25"/>
  <c r="AI283" i="25"/>
  <c r="AS283" i="25" s="1"/>
  <c r="AI18" i="25"/>
  <c r="X142" i="25"/>
  <c r="AI209" i="25"/>
  <c r="X297" i="25"/>
  <c r="X6" i="25"/>
  <c r="X226" i="25"/>
  <c r="X232" i="25"/>
  <c r="AI306" i="25"/>
  <c r="AS306" i="25" s="1"/>
  <c r="X141" i="25"/>
  <c r="X222" i="25"/>
  <c r="AI256" i="25"/>
  <c r="AS256" i="25" s="1"/>
  <c r="AI308" i="25"/>
  <c r="AS308" i="25" s="1"/>
  <c r="AI284" i="25"/>
  <c r="AS284" i="25" s="1"/>
  <c r="AI203" i="25"/>
  <c r="AI272" i="25"/>
  <c r="AS272" i="25" s="1"/>
  <c r="AI57" i="25"/>
  <c r="AI224" i="25"/>
  <c r="AS224" i="25" s="1"/>
  <c r="AI184" i="25"/>
  <c r="AI178" i="25"/>
  <c r="X207" i="25"/>
  <c r="AI7" i="25"/>
  <c r="X250" i="25"/>
  <c r="X237" i="25"/>
  <c r="AI189" i="25"/>
  <c r="AI32" i="25"/>
  <c r="X298" i="25"/>
  <c r="AI55" i="25"/>
  <c r="X130" i="25"/>
  <c r="X268" i="25"/>
  <c r="X185" i="25"/>
  <c r="AI182" i="25"/>
  <c r="X289" i="25"/>
  <c r="AI265" i="25"/>
  <c r="AS265" i="25" s="1"/>
  <c r="AI220" i="25"/>
  <c r="AS220" i="25" s="1"/>
  <c r="AI60" i="25"/>
  <c r="X117" i="25"/>
  <c r="X181" i="25"/>
  <c r="AI137" i="25"/>
  <c r="AI153" i="25"/>
  <c r="AI169" i="25"/>
  <c r="AI185" i="25"/>
  <c r="AI166" i="25"/>
  <c r="X229" i="25"/>
  <c r="X296" i="25"/>
  <c r="AI261" i="25"/>
  <c r="AS261" i="25" s="1"/>
  <c r="AI194" i="25"/>
  <c r="AI16" i="25"/>
  <c r="AI247" i="25"/>
  <c r="AS247" i="25" s="1"/>
  <c r="AI289" i="25"/>
  <c r="AS289" i="25" s="1"/>
  <c r="AI282" i="25"/>
  <c r="AS282" i="25" s="1"/>
  <c r="X251" i="25"/>
  <c r="AI170" i="25"/>
  <c r="X223" i="25"/>
  <c r="AI39" i="25"/>
  <c r="X264" i="25"/>
  <c r="AI240" i="25"/>
  <c r="AS240" i="25" s="1"/>
  <c r="X190" i="25"/>
  <c r="AI33" i="25"/>
  <c r="AI19" i="25"/>
  <c r="AI157" i="25"/>
  <c r="X291" i="25"/>
  <c r="X261" i="25"/>
  <c r="AI183" i="25"/>
  <c r="X242" i="25"/>
  <c r="AI10" i="25"/>
  <c r="AI269" i="25"/>
  <c r="AS269" i="25" s="1"/>
  <c r="X287" i="25"/>
  <c r="X249" i="25"/>
  <c r="AI84" i="25"/>
  <c r="X282" i="25"/>
  <c r="AI150" i="25"/>
  <c r="X220" i="25"/>
  <c r="X194" i="25"/>
  <c r="AI75" i="25"/>
  <c r="X145" i="25"/>
  <c r="AI134" i="25"/>
  <c r="X198" i="25"/>
  <c r="AI90" i="25"/>
  <c r="X219" i="25"/>
  <c r="X56" i="25"/>
  <c r="X13" i="25"/>
  <c r="X65" i="25"/>
  <c r="X93" i="25"/>
  <c r="X97" i="25"/>
  <c r="X101" i="25"/>
  <c r="X105" i="25"/>
  <c r="AI164" i="25"/>
  <c r="X154" i="25"/>
  <c r="X256" i="25"/>
  <c r="X14" i="25"/>
  <c r="X89" i="25"/>
  <c r="X40" i="25"/>
  <c r="X71" i="25"/>
  <c r="AI140" i="25"/>
  <c r="X170" i="25"/>
  <c r="X309" i="25"/>
  <c r="X279" i="25"/>
  <c r="X38" i="25"/>
  <c r="X173" i="25"/>
  <c r="X201" i="25"/>
  <c r="AI45" i="25"/>
  <c r="X88" i="25"/>
  <c r="X120" i="25"/>
  <c r="X140" i="25"/>
  <c r="AI151" i="25"/>
  <c r="X294" i="25"/>
  <c r="AI58" i="25"/>
  <c r="AI43" i="25"/>
  <c r="AI111" i="25"/>
  <c r="AI173" i="25"/>
  <c r="AI65" i="25"/>
  <c r="X55" i="25"/>
  <c r="X238" i="25"/>
  <c r="AI257" i="25"/>
  <c r="AS257" i="25" s="1"/>
  <c r="AI23" i="25"/>
  <c r="X133" i="25"/>
  <c r="X197" i="25"/>
  <c r="X148" i="25"/>
  <c r="X135" i="25"/>
  <c r="AI315" i="25"/>
  <c r="AS315" i="25" s="1"/>
  <c r="X34" i="25"/>
  <c r="AI74" i="25"/>
  <c r="AI251" i="25"/>
  <c r="AS251" i="25" s="1"/>
  <c r="AI50" i="25"/>
  <c r="AI254" i="25"/>
  <c r="AS254" i="25" s="1"/>
  <c r="X293" i="25"/>
  <c r="X53" i="25"/>
  <c r="X90" i="25"/>
  <c r="X59" i="25"/>
  <c r="X127" i="25"/>
  <c r="X259" i="25"/>
  <c r="X69" i="25"/>
  <c r="X28" i="25"/>
  <c r="X39" i="25"/>
  <c r="X206" i="25"/>
  <c r="X305" i="25"/>
  <c r="X48" i="25"/>
  <c r="AI80" i="25"/>
  <c r="AI98" i="25"/>
  <c r="AI89" i="25"/>
  <c r="X9" i="25"/>
  <c r="X139" i="25"/>
  <c r="X10" i="25"/>
  <c r="AI25" i="25"/>
  <c r="X218" i="25"/>
  <c r="AI73" i="25"/>
  <c r="X199" i="25"/>
  <c r="X95" i="25"/>
  <c r="X246" i="25"/>
  <c r="X285" i="25"/>
  <c r="X26" i="25"/>
  <c r="X51" i="25"/>
  <c r="X102" i="25"/>
  <c r="X276" i="25"/>
  <c r="AI46" i="25"/>
  <c r="X116" i="25"/>
  <c r="X119" i="25"/>
  <c r="X91" i="25"/>
  <c r="X143" i="25"/>
  <c r="X175" i="25"/>
  <c r="X265" i="25"/>
  <c r="X312" i="25"/>
  <c r="X137" i="25"/>
  <c r="X150" i="25"/>
  <c r="X270" i="25"/>
  <c r="AI205" i="25"/>
  <c r="X77" i="25"/>
  <c r="X128" i="25"/>
  <c r="X286" i="25"/>
  <c r="X188" i="25"/>
  <c r="AI171" i="25"/>
  <c r="X64" i="25"/>
  <c r="AI99" i="25"/>
  <c r="X159" i="25"/>
  <c r="X191" i="25"/>
  <c r="AI276" i="25"/>
  <c r="AS276" i="25" s="1"/>
  <c r="AI292" i="25"/>
  <c r="AS292" i="25" s="1"/>
  <c r="X227" i="25"/>
  <c r="X134" i="25"/>
  <c r="AI198" i="25"/>
  <c r="X280" i="25"/>
  <c r="X311" i="25"/>
  <c r="AI314" i="25"/>
  <c r="AS314" i="25" s="1"/>
  <c r="AI127" i="25"/>
  <c r="AI95" i="25"/>
  <c r="X260" i="25"/>
  <c r="X292" i="25"/>
  <c r="AI66" i="25"/>
  <c r="AJ197" i="24"/>
  <c r="AJ127" i="24"/>
  <c r="Y200" i="24"/>
  <c r="Y123" i="24"/>
  <c r="Y310" i="24"/>
  <c r="AJ288" i="24"/>
  <c r="AT288" i="24" s="1"/>
  <c r="Y124" i="24"/>
  <c r="AJ121" i="24"/>
  <c r="Y126" i="24"/>
  <c r="Y160" i="24"/>
  <c r="Y140" i="24"/>
  <c r="Y197" i="24"/>
  <c r="Y173" i="24"/>
  <c r="AJ272" i="24"/>
  <c r="AT272" i="24" s="1"/>
  <c r="AJ256" i="24"/>
  <c r="AT256" i="24" s="1"/>
  <c r="AJ310" i="24"/>
  <c r="AT310" i="24" s="1"/>
  <c r="AJ229" i="24"/>
  <c r="AT229" i="24" s="1"/>
  <c r="AJ224" i="24"/>
  <c r="AT224" i="24" s="1"/>
  <c r="AJ111" i="24"/>
  <c r="AJ268" i="24"/>
  <c r="AT268" i="24" s="1"/>
  <c r="Y112" i="24"/>
  <c r="Y111" i="24"/>
  <c r="Y201" i="24"/>
  <c r="AG140" i="24"/>
  <c r="AF140" i="24"/>
  <c r="AF155" i="24"/>
  <c r="Y180" i="24"/>
  <c r="AF187" i="24"/>
  <c r="AG126" i="24"/>
  <c r="AF126" i="24"/>
  <c r="AG160" i="24"/>
  <c r="AF160" i="24"/>
  <c r="AG178" i="24"/>
  <c r="AF178" i="24"/>
  <c r="AG175" i="24"/>
  <c r="AF175" i="24"/>
  <c r="AG197" i="24"/>
  <c r="AF197" i="24"/>
  <c r="AG111" i="24"/>
  <c r="AF111" i="24"/>
  <c r="AG164" i="24"/>
  <c r="AF164" i="24"/>
  <c r="AF153" i="24"/>
  <c r="AJ297" i="24"/>
  <c r="AT297" i="24" s="1"/>
  <c r="AG118" i="24"/>
  <c r="AF118" i="24"/>
  <c r="AG173" i="24"/>
  <c r="AF173" i="24"/>
  <c r="AG180" i="24"/>
  <c r="AF180" i="24"/>
  <c r="AG129" i="24"/>
  <c r="AF129" i="24"/>
  <c r="AF169" i="24"/>
  <c r="AF115" i="24"/>
  <c r="AG138" i="24"/>
  <c r="AF138" i="24"/>
  <c r="AF203" i="24"/>
  <c r="AG124" i="24"/>
  <c r="AF124" i="24"/>
  <c r="AF136" i="24"/>
  <c r="AF116" i="24"/>
  <c r="AJ271" i="24"/>
  <c r="AT271" i="24" s="1"/>
  <c r="AJ292" i="24"/>
  <c r="AT292" i="24" s="1"/>
  <c r="Y243" i="24"/>
  <c r="Y286" i="24"/>
  <c r="AJ221" i="24"/>
  <c r="AT221" i="24" s="1"/>
  <c r="AF157" i="24"/>
  <c r="AF195" i="24"/>
  <c r="AF181" i="24"/>
  <c r="AG200" i="24"/>
  <c r="AF200" i="24"/>
  <c r="AG202" i="24"/>
  <c r="AF202" i="24"/>
  <c r="AG135" i="24"/>
  <c r="AF135" i="24"/>
  <c r="Y172" i="24"/>
  <c r="Y175" i="24"/>
  <c r="AF208" i="24"/>
  <c r="AF207" i="24"/>
  <c r="AG121" i="24"/>
  <c r="AF121" i="24"/>
  <c r="AG127" i="24"/>
  <c r="AF127" i="24"/>
  <c r="AJ300" i="24"/>
  <c r="AT300" i="24" s="1"/>
  <c r="AJ307" i="24"/>
  <c r="AT307" i="24" s="1"/>
  <c r="AF29" i="24"/>
  <c r="AJ227" i="24"/>
  <c r="AT227" i="24" s="1"/>
  <c r="AJ250" i="24"/>
  <c r="AT250" i="24" s="1"/>
  <c r="AJ251" i="24"/>
  <c r="AT251" i="24" s="1"/>
  <c r="AJ285" i="24"/>
  <c r="AT285" i="24" s="1"/>
  <c r="AJ301" i="24"/>
  <c r="AT301" i="24" s="1"/>
  <c r="AJ222" i="24"/>
  <c r="AT222" i="24" s="1"/>
  <c r="AJ273" i="24"/>
  <c r="AT273" i="24" s="1"/>
  <c r="AJ245" i="24"/>
  <c r="AT245" i="24" s="1"/>
  <c r="AF79" i="24"/>
  <c r="AF72" i="24"/>
  <c r="AF63" i="24"/>
  <c r="AF31" i="24"/>
  <c r="AF87" i="24"/>
  <c r="AJ294" i="24"/>
  <c r="AT294" i="24" s="1"/>
  <c r="AJ304" i="24"/>
  <c r="AT304" i="24" s="1"/>
  <c r="AJ303" i="24"/>
  <c r="AT303" i="24" s="1"/>
  <c r="AJ230" i="24"/>
  <c r="AT230" i="24" s="1"/>
  <c r="AJ315" i="24"/>
  <c r="AT315" i="24" s="1"/>
  <c r="Y247" i="24"/>
  <c r="Y300" i="24"/>
  <c r="Y274" i="24"/>
  <c r="AJ254" i="24"/>
  <c r="AT254" i="24" s="1"/>
  <c r="Y294" i="24"/>
  <c r="AJ236" i="24"/>
  <c r="AT236" i="24" s="1"/>
  <c r="AJ223" i="24"/>
  <c r="AT223" i="24" s="1"/>
  <c r="AJ240" i="24"/>
  <c r="AT240" i="24" s="1"/>
  <c r="AJ302" i="24"/>
  <c r="AT302" i="24" s="1"/>
  <c r="AJ233" i="24"/>
  <c r="AT233" i="24" s="1"/>
  <c r="AJ258" i="24"/>
  <c r="AT258" i="24" s="1"/>
  <c r="AJ309" i="24"/>
  <c r="AT309" i="24" s="1"/>
  <c r="AJ247" i="24"/>
  <c r="AT247" i="24" s="1"/>
  <c r="AJ314" i="24"/>
  <c r="AT314" i="24" s="1"/>
  <c r="AJ218" i="24"/>
  <c r="AT218" i="24" s="1"/>
  <c r="AJ216" i="24"/>
  <c r="AT216" i="24" s="1"/>
  <c r="AG230" i="24"/>
  <c r="AF230" i="24"/>
  <c r="AF234" i="24"/>
  <c r="AG234" i="24"/>
  <c r="AG314" i="24"/>
  <c r="AF314" i="24"/>
  <c r="AG219" i="24"/>
  <c r="AF219" i="24"/>
  <c r="AG241" i="24"/>
  <c r="AF241" i="24"/>
  <c r="AF248" i="24"/>
  <c r="AG293" i="24"/>
  <c r="AF293" i="24"/>
  <c r="AG223" i="24"/>
  <c r="AF223" i="24"/>
  <c r="Y302" i="24"/>
  <c r="AF272" i="24"/>
  <c r="AG272" i="24"/>
  <c r="AG300" i="24"/>
  <c r="AF300" i="24"/>
  <c r="AF235" i="24"/>
  <c r="AG235" i="24"/>
  <c r="AJ316" i="24"/>
  <c r="AT316" i="24" s="1"/>
  <c r="Y256" i="24"/>
  <c r="AG251" i="24"/>
  <c r="AF251" i="24"/>
  <c r="Y223" i="24"/>
  <c r="Y312" i="24"/>
  <c r="Y227" i="24"/>
  <c r="AG307" i="24"/>
  <c r="AF307" i="24"/>
  <c r="AG227" i="24"/>
  <c r="AF227" i="24"/>
  <c r="AF233" i="24"/>
  <c r="AG233" i="24"/>
  <c r="AJ275" i="24"/>
  <c r="AT275" i="24" s="1"/>
  <c r="AG258" i="24"/>
  <c r="AF258" i="24"/>
  <c r="AF280" i="24"/>
  <c r="AG256" i="24"/>
  <c r="AF256" i="24"/>
  <c r="AF277" i="24"/>
  <c r="AG271" i="24"/>
  <c r="AF271" i="24"/>
  <c r="AF315" i="24"/>
  <c r="AG315" i="24"/>
  <c r="AJ228" i="24"/>
  <c r="AT228" i="24" s="1"/>
  <c r="Y264" i="24"/>
  <c r="AG250" i="24"/>
  <c r="AF250" i="24"/>
  <c r="AF298" i="24"/>
  <c r="AG292" i="24"/>
  <c r="AF292" i="24"/>
  <c r="AF288" i="24"/>
  <c r="AG288" i="24"/>
  <c r="AF221" i="24"/>
  <c r="AG221" i="24"/>
  <c r="AJ286" i="24"/>
  <c r="AT286" i="24" s="1"/>
  <c r="AJ274" i="24"/>
  <c r="AT274" i="24" s="1"/>
  <c r="AF306" i="24"/>
  <c r="AG316" i="24"/>
  <c r="AF316" i="24"/>
  <c r="AJ266" i="24"/>
  <c r="AT266" i="24" s="1"/>
  <c r="AJ220" i="24"/>
  <c r="AT220" i="24" s="1"/>
  <c r="AG236" i="24"/>
  <c r="AF236" i="24"/>
  <c r="Y304" i="24"/>
  <c r="AJ243" i="24"/>
  <c r="AT243" i="24" s="1"/>
  <c r="AF282" i="24"/>
  <c r="AG240" i="24"/>
  <c r="AF240" i="24"/>
  <c r="AG294" i="24"/>
  <c r="AF294" i="24"/>
  <c r="AF239" i="24"/>
  <c r="AG239" i="24"/>
  <c r="AF304" i="24"/>
  <c r="AG304" i="24"/>
  <c r="AF218" i="24"/>
  <c r="AG218" i="24"/>
  <c r="AF268" i="24"/>
  <c r="AG268" i="24"/>
  <c r="AG287" i="24"/>
  <c r="AF287" i="24"/>
  <c r="AG285" i="24"/>
  <c r="AF285" i="24"/>
  <c r="AF261" i="24"/>
  <c r="AG264" i="24"/>
  <c r="AF264" i="24"/>
  <c r="AF259" i="24"/>
  <c r="AG259" i="24"/>
  <c r="AG245" i="24"/>
  <c r="AF245" i="24"/>
  <c r="Y218" i="24"/>
  <c r="AF283" i="24"/>
  <c r="Y316" i="24"/>
  <c r="AF276" i="24"/>
  <c r="AG279" i="24"/>
  <c r="AF279" i="24"/>
  <c r="AG301" i="24"/>
  <c r="AF301" i="24"/>
  <c r="AG297" i="24"/>
  <c r="AF297" i="24"/>
  <c r="AG310" i="24"/>
  <c r="AF310" i="24"/>
  <c r="AJ239" i="24"/>
  <c r="AT239" i="24" s="1"/>
  <c r="AF229" i="24"/>
  <c r="AG229" i="24"/>
  <c r="AG275" i="24"/>
  <c r="AF275" i="24"/>
  <c r="AG303" i="24"/>
  <c r="AF303" i="24"/>
  <c r="Y222" i="24"/>
  <c r="Y244" i="24"/>
  <c r="AG309" i="24"/>
  <c r="AF309" i="24"/>
  <c r="AF247" i="24"/>
  <c r="AG247" i="24"/>
  <c r="AJ234" i="24"/>
  <c r="AT234" i="24" s="1"/>
  <c r="AF228" i="24"/>
  <c r="AG228" i="24"/>
  <c r="Y235" i="24"/>
  <c r="AJ235" i="24"/>
  <c r="AT235" i="24" s="1"/>
  <c r="AG286" i="24"/>
  <c r="AF286" i="24"/>
  <c r="AJ219" i="24"/>
  <c r="AT219" i="24" s="1"/>
  <c r="AF254" i="24"/>
  <c r="AG254" i="24"/>
  <c r="AF274" i="24"/>
  <c r="AG274" i="24"/>
  <c r="AF262" i="24"/>
  <c r="AG266" i="24"/>
  <c r="AF266" i="24"/>
  <c r="AJ287" i="24"/>
  <c r="AT287" i="24" s="1"/>
  <c r="AG220" i="24"/>
  <c r="AF220" i="24"/>
  <c r="AG216" i="24"/>
  <c r="AF216" i="24"/>
  <c r="Y314" i="24"/>
  <c r="Y309" i="24"/>
  <c r="Y254" i="24"/>
  <c r="AF224" i="24"/>
  <c r="AG224" i="24"/>
  <c r="AJ279" i="24"/>
  <c r="AT279" i="24" s="1"/>
  <c r="AJ241" i="24"/>
  <c r="AT241" i="24" s="1"/>
  <c r="AJ293" i="24"/>
  <c r="AT293" i="24" s="1"/>
  <c r="AG243" i="24"/>
  <c r="AF243" i="24"/>
  <c r="AG222" i="24"/>
  <c r="AF222" i="24"/>
  <c r="AG273" i="24"/>
  <c r="AF273" i="24"/>
  <c r="AJ264" i="24"/>
  <c r="AT264" i="24" s="1"/>
  <c r="AJ259" i="24"/>
  <c r="AT259" i="24" s="1"/>
  <c r="Y245" i="24"/>
  <c r="Y279" i="24"/>
  <c r="AG302" i="24"/>
  <c r="AF302" i="24"/>
  <c r="AF270" i="24"/>
  <c r="AF41" i="24"/>
  <c r="AF59" i="24"/>
  <c r="AF89" i="24"/>
  <c r="AF54" i="24"/>
  <c r="AF68" i="24"/>
  <c r="AF51" i="24"/>
  <c r="AF46" i="24"/>
  <c r="AF92" i="24"/>
  <c r="AF19" i="24"/>
  <c r="AF82" i="24"/>
  <c r="AF18" i="24"/>
  <c r="AF28" i="24"/>
  <c r="AF40" i="24"/>
  <c r="Y5" i="24"/>
  <c r="Y33" i="24"/>
  <c r="Y96" i="24"/>
  <c r="Y21" i="24"/>
  <c r="AS134" i="25" l="1"/>
  <c r="AX134" i="25" s="1"/>
  <c r="AS202" i="25"/>
  <c r="AW202" i="25" s="1"/>
  <c r="AS177" i="25"/>
  <c r="AX177" i="25" s="1"/>
  <c r="AS187" i="25"/>
  <c r="AX187" i="25" s="1"/>
  <c r="AS191" i="25"/>
  <c r="AW191" i="25" s="1"/>
  <c r="AS183" i="25"/>
  <c r="AX183" i="25" s="1"/>
  <c r="AS182" i="25"/>
  <c r="AX182" i="25" s="1"/>
  <c r="AS209" i="25"/>
  <c r="AX209" i="25" s="1"/>
  <c r="AS186" i="25"/>
  <c r="AX186" i="25" s="1"/>
  <c r="AS180" i="25"/>
  <c r="AX180" i="25" s="1"/>
  <c r="AS200" i="25"/>
  <c r="AX200" i="25" s="1"/>
  <c r="AS179" i="25"/>
  <c r="AW179" i="25" s="1"/>
  <c r="AS146" i="25"/>
  <c r="AW146" i="25" s="1"/>
  <c r="AS181" i="25"/>
  <c r="AW181" i="25" s="1"/>
  <c r="AS119" i="25"/>
  <c r="AX119" i="25" s="1"/>
  <c r="AS193" i="25"/>
  <c r="AX193" i="25" s="1"/>
  <c r="AS144" i="25"/>
  <c r="AX144" i="25" s="1"/>
  <c r="AS117" i="25"/>
  <c r="AX117" i="25" s="1"/>
  <c r="AS205" i="25"/>
  <c r="AW205" i="25" s="1"/>
  <c r="AS173" i="25"/>
  <c r="AX173" i="25" s="1"/>
  <c r="AS140" i="25"/>
  <c r="AX140" i="25" s="1"/>
  <c r="AS194" i="25"/>
  <c r="AX194" i="25" s="1"/>
  <c r="AS166" i="25"/>
  <c r="AW166" i="25" s="1"/>
  <c r="AS137" i="25"/>
  <c r="AX137" i="25" s="1"/>
  <c r="AS184" i="25"/>
  <c r="AW184" i="25" s="1"/>
  <c r="AS203" i="25"/>
  <c r="AX203" i="25" s="1"/>
  <c r="AS148" i="25"/>
  <c r="AW148" i="25" s="1"/>
  <c r="AS165" i="25"/>
  <c r="AX165" i="25" s="1"/>
  <c r="AS124" i="25"/>
  <c r="AX124" i="25" s="1"/>
  <c r="AS158" i="25"/>
  <c r="AX158" i="25" s="1"/>
  <c r="AS132" i="25"/>
  <c r="AX132" i="25" s="1"/>
  <c r="AS207" i="25"/>
  <c r="AW207" i="25" s="1"/>
  <c r="AS138" i="25"/>
  <c r="AX138" i="25" s="1"/>
  <c r="AS131" i="25"/>
  <c r="AW131" i="25" s="1"/>
  <c r="AS143" i="25"/>
  <c r="AX143" i="25" s="1"/>
  <c r="AS161" i="25"/>
  <c r="AX161" i="25" s="1"/>
  <c r="AS152" i="25"/>
  <c r="AX152" i="25" s="1"/>
  <c r="AS149" i="25"/>
  <c r="AX149" i="25" s="1"/>
  <c r="AS141" i="25"/>
  <c r="AX141" i="25" s="1"/>
  <c r="AS123" i="25"/>
  <c r="AW123" i="25" s="1"/>
  <c r="AS118" i="25"/>
  <c r="AX118" i="25" s="1"/>
  <c r="AS125" i="25"/>
  <c r="AX125" i="25" s="1"/>
  <c r="AS129" i="25"/>
  <c r="AW129" i="25" s="1"/>
  <c r="AS128" i="25"/>
  <c r="AX128" i="25" s="1"/>
  <c r="AS127" i="25"/>
  <c r="AX127" i="25" s="1"/>
  <c r="AS198" i="25"/>
  <c r="AW198" i="25" s="1"/>
  <c r="AS157" i="25"/>
  <c r="AX157" i="25" s="1"/>
  <c r="AS170" i="25"/>
  <c r="AX170" i="25" s="1"/>
  <c r="AS169" i="25"/>
  <c r="AW169" i="25" s="1"/>
  <c r="AS189" i="25"/>
  <c r="AX189" i="25" s="1"/>
  <c r="AS126" i="25"/>
  <c r="AX126" i="25" s="1"/>
  <c r="AS156" i="25"/>
  <c r="AW156" i="25" s="1"/>
  <c r="AS133" i="25"/>
  <c r="AX133" i="25" s="1"/>
  <c r="AS176" i="25"/>
  <c r="AX176" i="25" s="1"/>
  <c r="AS190" i="25"/>
  <c r="AW190" i="25" s="1"/>
  <c r="AS195" i="25"/>
  <c r="AX195" i="25" s="1"/>
  <c r="AS160" i="25"/>
  <c r="AX160" i="25" s="1"/>
  <c r="AS197" i="25"/>
  <c r="AX197" i="25" s="1"/>
  <c r="AS171" i="25"/>
  <c r="AX171" i="25" s="1"/>
  <c r="AS164" i="25"/>
  <c r="AW164" i="25" s="1"/>
  <c r="AS150" i="25"/>
  <c r="AX150" i="25" s="1"/>
  <c r="AS153" i="25"/>
  <c r="AW153" i="25" s="1"/>
  <c r="AS178" i="25"/>
  <c r="AW178" i="25" s="1"/>
  <c r="AS167" i="25"/>
  <c r="AX167" i="25" s="1"/>
  <c r="AS113" i="25"/>
  <c r="AX113" i="25" s="1"/>
  <c r="AS154" i="25"/>
  <c r="AX154" i="25" s="1"/>
  <c r="AS142" i="25"/>
  <c r="AX142" i="25" s="1"/>
  <c r="AS168" i="25"/>
  <c r="AW168" i="25" s="1"/>
  <c r="AS201" i="25"/>
  <c r="AW201" i="25" s="1"/>
  <c r="AS114" i="25"/>
  <c r="AX114" i="25" s="1"/>
  <c r="AS175" i="25"/>
  <c r="AX175" i="25" s="1"/>
  <c r="AS206" i="25"/>
  <c r="AW206" i="25" s="1"/>
  <c r="AS145" i="25"/>
  <c r="AX145" i="25" s="1"/>
  <c r="AS192" i="25"/>
  <c r="AX192" i="25" s="1"/>
  <c r="AS159" i="25"/>
  <c r="AX159" i="25" s="1"/>
  <c r="AS204" i="25"/>
  <c r="AX204" i="25" s="1"/>
  <c r="AS111" i="25"/>
  <c r="AX111" i="25" s="1"/>
  <c r="AS151" i="25"/>
  <c r="AX151" i="25" s="1"/>
  <c r="AS185" i="25"/>
  <c r="AW185" i="25" s="1"/>
  <c r="AS120" i="25"/>
  <c r="AW120" i="25" s="1"/>
  <c r="AS188" i="25"/>
  <c r="AX188" i="25" s="1"/>
  <c r="AS121" i="25"/>
  <c r="AW121" i="25" s="1"/>
  <c r="AS162" i="25"/>
  <c r="AX162" i="25" s="1"/>
  <c r="AS115" i="25"/>
  <c r="AX115" i="25" s="1"/>
  <c r="AS135" i="25"/>
  <c r="AW135" i="25" s="1"/>
  <c r="AS172" i="25"/>
  <c r="AX172" i="25" s="1"/>
  <c r="AS196" i="25"/>
  <c r="AX196" i="25" s="1"/>
  <c r="AS199" i="25"/>
  <c r="AX199" i="25" s="1"/>
  <c r="AS147" i="25"/>
  <c r="AX147" i="25" s="1"/>
  <c r="AS174" i="25"/>
  <c r="AX174" i="25" s="1"/>
  <c r="AS163" i="25"/>
  <c r="AW163" i="25" s="1"/>
  <c r="AS130" i="25"/>
  <c r="AX130" i="25" s="1"/>
  <c r="AS136" i="25"/>
  <c r="AX136" i="25" s="1"/>
  <c r="AS208" i="25"/>
  <c r="AW208" i="25" s="1"/>
  <c r="AS155" i="25"/>
  <c r="AX155" i="25" s="1"/>
  <c r="AS210" i="25"/>
  <c r="AX210" i="25" s="1"/>
  <c r="AS116" i="25"/>
  <c r="AX116" i="25" s="1"/>
  <c r="AS112" i="25"/>
  <c r="AW112" i="25" s="1"/>
  <c r="AS139" i="25"/>
  <c r="AX139" i="25" s="1"/>
  <c r="AS122" i="25"/>
  <c r="AX122" i="25" s="1"/>
  <c r="AS110" i="25"/>
  <c r="AX110" i="25" s="1"/>
  <c r="AX202" i="25"/>
  <c r="AT141" i="24"/>
  <c r="AT145" i="24"/>
  <c r="AT205" i="24"/>
  <c r="AT194" i="24"/>
  <c r="AT125" i="24"/>
  <c r="AT131" i="24"/>
  <c r="AT150" i="24"/>
  <c r="AT188" i="24"/>
  <c r="AT170" i="24"/>
  <c r="AT162" i="24"/>
  <c r="AT113" i="24"/>
  <c r="AT143" i="24"/>
  <c r="AT127" i="24"/>
  <c r="AT110" i="24"/>
  <c r="AT184" i="24"/>
  <c r="AT154" i="24"/>
  <c r="AT119" i="24"/>
  <c r="AT167" i="24"/>
  <c r="AT152" i="24"/>
  <c r="AT128" i="24"/>
  <c r="AT186" i="24"/>
  <c r="AT179" i="24"/>
  <c r="AT163" i="24"/>
  <c r="AT161" i="24"/>
  <c r="AT209" i="24"/>
  <c r="AT133" i="24"/>
  <c r="AT139" i="24"/>
  <c r="AT168" i="24"/>
  <c r="AT176" i="24"/>
  <c r="AT198" i="24"/>
  <c r="AT130" i="24"/>
  <c r="AT191" i="24"/>
  <c r="AT193" i="24"/>
  <c r="AT190" i="24"/>
  <c r="AT197" i="24"/>
  <c r="AT137" i="24"/>
  <c r="AT159" i="24"/>
  <c r="AT142" i="24"/>
  <c r="AT183" i="24"/>
  <c r="AT177" i="24"/>
  <c r="AT165" i="24"/>
  <c r="AT192" i="24"/>
  <c r="AT196" i="24"/>
  <c r="AT189" i="24"/>
  <c r="AT144" i="24"/>
  <c r="AT151" i="24"/>
  <c r="AT146" i="24"/>
  <c r="AT166" i="24"/>
  <c r="AT185" i="24"/>
  <c r="AT111" i="24"/>
  <c r="AT199" i="24"/>
  <c r="AT156" i="24"/>
  <c r="AT204" i="24"/>
  <c r="AT114" i="24"/>
  <c r="AT120" i="24"/>
  <c r="AT158" i="24"/>
  <c r="AT121" i="24"/>
  <c r="AT182" i="24"/>
  <c r="AT149" i="24"/>
  <c r="AT134" i="24"/>
  <c r="AT203" i="24"/>
  <c r="AT206" i="24"/>
  <c r="AT174" i="24"/>
  <c r="AT117" i="24"/>
  <c r="AT147" i="24"/>
  <c r="AT171" i="24"/>
  <c r="AT132" i="24"/>
  <c r="AV23" i="24"/>
  <c r="AV73" i="24"/>
  <c r="AV104" i="24"/>
  <c r="AV105" i="24"/>
  <c r="AV100" i="24"/>
  <c r="AV53" i="24"/>
  <c r="AV36" i="24"/>
  <c r="AV5" i="24"/>
  <c r="BV5" i="24"/>
  <c r="AV27" i="24"/>
  <c r="AV87" i="24"/>
  <c r="AV95" i="24"/>
  <c r="AV69" i="24"/>
  <c r="AV70" i="24"/>
  <c r="AV42" i="24"/>
  <c r="AV60" i="24"/>
  <c r="AV50" i="24"/>
  <c r="AV78" i="24"/>
  <c r="AV32" i="24"/>
  <c r="AV14" i="24"/>
  <c r="AV83" i="24"/>
  <c r="AV10" i="24"/>
  <c r="AV25" i="24"/>
  <c r="AJ55" i="24"/>
  <c r="AG289" i="24"/>
  <c r="AG152" i="24"/>
  <c r="AG70" i="24"/>
  <c r="AJ277" i="24"/>
  <c r="AT277" i="24" s="1"/>
  <c r="AG277" i="24"/>
  <c r="AN277" i="24" s="1"/>
  <c r="CD277" i="24" s="1"/>
  <c r="AF253" i="24"/>
  <c r="AN253" i="24" s="1"/>
  <c r="AF305" i="24"/>
  <c r="AK305" i="24" s="1"/>
  <c r="AG190" i="24"/>
  <c r="AN190" i="24" s="1"/>
  <c r="AJ207" i="24"/>
  <c r="AG280" i="24"/>
  <c r="AN280" i="24" s="1"/>
  <c r="AJ260" i="24"/>
  <c r="AT260" i="24" s="1"/>
  <c r="AJ280" i="24"/>
  <c r="AT280" i="24" s="1"/>
  <c r="AG260" i="24"/>
  <c r="AJ195" i="24"/>
  <c r="AJ244" i="24"/>
  <c r="AT244" i="24" s="1"/>
  <c r="AG283" i="24"/>
  <c r="AN283" i="24" s="1"/>
  <c r="CD283" i="24" s="1"/>
  <c r="AJ248" i="24"/>
  <c r="AT248" i="24" s="1"/>
  <c r="AJ153" i="24"/>
  <c r="AG262" i="24"/>
  <c r="AG248" i="24"/>
  <c r="AN248" i="24" s="1"/>
  <c r="AG191" i="24"/>
  <c r="AJ289" i="24"/>
  <c r="AT289" i="24" s="1"/>
  <c r="AJ262" i="24"/>
  <c r="AT262" i="24" s="1"/>
  <c r="AG270" i="24"/>
  <c r="AN270" i="24" s="1"/>
  <c r="CD270" i="24" s="1"/>
  <c r="AF281" i="24"/>
  <c r="AN281" i="24" s="1"/>
  <c r="AG193" i="24"/>
  <c r="AG255" i="24"/>
  <c r="AK255" i="24" s="1"/>
  <c r="AF193" i="24"/>
  <c r="AJ79" i="24"/>
  <c r="AJ201" i="24"/>
  <c r="AJ172" i="24"/>
  <c r="AJ261" i="24"/>
  <c r="AT261" i="24" s="1"/>
  <c r="AJ187" i="24"/>
  <c r="AJ298" i="24"/>
  <c r="AT298" i="24" s="1"/>
  <c r="AG217" i="24"/>
  <c r="AK217" i="24" s="1"/>
  <c r="AJ96" i="24"/>
  <c r="AG244" i="24"/>
  <c r="AN244" i="24" s="1"/>
  <c r="CD244" i="24" s="1"/>
  <c r="AJ157" i="24"/>
  <c r="AJ283" i="24"/>
  <c r="AT283" i="24" s="1"/>
  <c r="AJ208" i="24"/>
  <c r="AJ210" i="24"/>
  <c r="AG312" i="24"/>
  <c r="AG132" i="24"/>
  <c r="AV101" i="24"/>
  <c r="AT101" i="24"/>
  <c r="BA101" i="24" s="1"/>
  <c r="AV91" i="24"/>
  <c r="AT91" i="24"/>
  <c r="BA91" i="24" s="1"/>
  <c r="AJ181" i="24"/>
  <c r="AJ92" i="24"/>
  <c r="AF289" i="24"/>
  <c r="AG171" i="24"/>
  <c r="AN171" i="24" s="1"/>
  <c r="AX171" i="24" s="1"/>
  <c r="AG311" i="24"/>
  <c r="AK311" i="24" s="1"/>
  <c r="AG226" i="24"/>
  <c r="AK226" i="24" s="1"/>
  <c r="AJ97" i="24"/>
  <c r="AJ312" i="24"/>
  <c r="AT312" i="24" s="1"/>
  <c r="AJ169" i="24"/>
  <c r="AG147" i="24"/>
  <c r="AJ257" i="24"/>
  <c r="AT257" i="24" s="1"/>
  <c r="AF147" i="24"/>
  <c r="AF132" i="24"/>
  <c r="AJ155" i="24"/>
  <c r="AG242" i="24"/>
  <c r="AG130" i="24"/>
  <c r="AK130" i="24" s="1"/>
  <c r="AJ270" i="24"/>
  <c r="AT270" i="24" s="1"/>
  <c r="AJ282" i="24"/>
  <c r="AT282" i="24" s="1"/>
  <c r="AG158" i="24"/>
  <c r="AN158" i="24" s="1"/>
  <c r="AG153" i="24"/>
  <c r="AN153" i="24" s="1"/>
  <c r="AG282" i="24"/>
  <c r="AN282" i="24" s="1"/>
  <c r="CD282" i="24" s="1"/>
  <c r="AG269" i="24"/>
  <c r="AG265" i="24"/>
  <c r="AK265" i="24" s="1"/>
  <c r="AG146" i="24"/>
  <c r="AK146" i="24" s="1"/>
  <c r="AF260" i="24"/>
  <c r="AG257" i="24"/>
  <c r="AN257" i="24" s="1"/>
  <c r="AG267" i="24"/>
  <c r="AN267" i="24" s="1"/>
  <c r="AG176" i="24"/>
  <c r="AK176" i="24" s="1"/>
  <c r="AG290" i="24"/>
  <c r="AN290" i="24" s="1"/>
  <c r="CD290" i="24" s="1"/>
  <c r="AG291" i="24"/>
  <c r="AK291" i="24" s="1"/>
  <c r="AG261" i="24"/>
  <c r="AN261" i="24" s="1"/>
  <c r="AG198" i="24"/>
  <c r="AK198" i="24" s="1"/>
  <c r="AG114" i="24"/>
  <c r="AF191" i="24"/>
  <c r="AG166" i="24"/>
  <c r="AG117" i="24"/>
  <c r="AK117" i="24" s="1"/>
  <c r="AF237" i="24"/>
  <c r="AK237" i="24" s="1"/>
  <c r="AG195" i="24"/>
  <c r="AF278" i="24"/>
  <c r="AK278" i="24" s="1"/>
  <c r="AG308" i="24"/>
  <c r="AK308" i="24" s="1"/>
  <c r="AF114" i="24"/>
  <c r="AG232" i="24"/>
  <c r="AK232" i="24" s="1"/>
  <c r="AG122" i="24"/>
  <c r="AG299" i="24"/>
  <c r="AN299" i="24" s="1"/>
  <c r="AG298" i="24"/>
  <c r="AN298" i="24" s="1"/>
  <c r="CD298" i="24" s="1"/>
  <c r="AG231" i="24"/>
  <c r="AK231" i="24" s="1"/>
  <c r="AG185" i="24"/>
  <c r="AN185" i="24" s="1"/>
  <c r="BV185" i="24" s="1"/>
  <c r="AV85" i="24"/>
  <c r="AT85" i="24"/>
  <c r="BA85" i="24" s="1"/>
  <c r="AV86" i="24"/>
  <c r="AT86" i="24"/>
  <c r="BA86" i="24" s="1"/>
  <c r="AV74" i="24"/>
  <c r="AT74" i="24"/>
  <c r="BA74" i="24" s="1"/>
  <c r="AJ89" i="24"/>
  <c r="AF249" i="24"/>
  <c r="AN249" i="24" s="1"/>
  <c r="CD249" i="24" s="1"/>
  <c r="AG120" i="24"/>
  <c r="AN120" i="24" s="1"/>
  <c r="AX120" i="24" s="1"/>
  <c r="AG133" i="24"/>
  <c r="AK133" i="24" s="1"/>
  <c r="AT83" i="24"/>
  <c r="BA83" i="24" s="1"/>
  <c r="AG151" i="24"/>
  <c r="AN151" i="24" s="1"/>
  <c r="BH151" i="24" s="1"/>
  <c r="AG143" i="24"/>
  <c r="AN143" i="24" s="1"/>
  <c r="AT73" i="24"/>
  <c r="BA73" i="24" s="1"/>
  <c r="AJ63" i="24"/>
  <c r="AJ82" i="24"/>
  <c r="AJ72" i="24"/>
  <c r="AJ148" i="24"/>
  <c r="AJ46" i="24"/>
  <c r="AG168" i="24"/>
  <c r="AG174" i="24"/>
  <c r="AG189" i="24"/>
  <c r="AG139" i="24"/>
  <c r="AN139" i="24" s="1"/>
  <c r="BT139" i="24" s="1"/>
  <c r="AJ68" i="24"/>
  <c r="AG225" i="24"/>
  <c r="AG150" i="24"/>
  <c r="AK150" i="24" s="1"/>
  <c r="AG156" i="24"/>
  <c r="AK156" i="24" s="1"/>
  <c r="AG204" i="24"/>
  <c r="AK204" i="24" s="1"/>
  <c r="AF238" i="24"/>
  <c r="AK238" i="24" s="1"/>
  <c r="AF225" i="24"/>
  <c r="AF166" i="24"/>
  <c r="AG263" i="24"/>
  <c r="AF263" i="24"/>
  <c r="AG144" i="24"/>
  <c r="AN144" i="24" s="1"/>
  <c r="AX144" i="24" s="1"/>
  <c r="AG252" i="24"/>
  <c r="AN252" i="24" s="1"/>
  <c r="CD252" i="24" s="1"/>
  <c r="AF189" i="24"/>
  <c r="AJ306" i="24"/>
  <c r="AT306" i="24" s="1"/>
  <c r="AF168" i="24"/>
  <c r="AJ276" i="24"/>
  <c r="AT276" i="24" s="1"/>
  <c r="AJ54" i="24"/>
  <c r="AV56" i="24"/>
  <c r="AT56" i="24"/>
  <c r="BA56" i="24" s="1"/>
  <c r="AG276" i="24"/>
  <c r="AN276" i="24" s="1"/>
  <c r="AJ59" i="24"/>
  <c r="AJ51" i="24"/>
  <c r="AJ136" i="24"/>
  <c r="AJ64" i="24"/>
  <c r="AJ225" i="24"/>
  <c r="AT225" i="24" s="1"/>
  <c r="AF313" i="24"/>
  <c r="AN313" i="24" s="1"/>
  <c r="CD313" i="24" s="1"/>
  <c r="AF246" i="24"/>
  <c r="AN246" i="24" s="1"/>
  <c r="CD246" i="24" s="1"/>
  <c r="AF295" i="24"/>
  <c r="AK295" i="24" s="1"/>
  <c r="AF174" i="24"/>
  <c r="AG296" i="24"/>
  <c r="AK296" i="24" s="1"/>
  <c r="AG25" i="24"/>
  <c r="AG89" i="24"/>
  <c r="AN89" i="24" s="1"/>
  <c r="CD89" i="24" s="1"/>
  <c r="AG284" i="24"/>
  <c r="AK284" i="24" s="1"/>
  <c r="AG209" i="24"/>
  <c r="AK209" i="24" s="1"/>
  <c r="AF242" i="24"/>
  <c r="AF269" i="24"/>
  <c r="AJ40" i="24"/>
  <c r="AG306" i="24"/>
  <c r="AG113" i="24"/>
  <c r="AN113" i="24" s="1"/>
  <c r="AJ41" i="24"/>
  <c r="AG179" i="24"/>
  <c r="AN179" i="24" s="1"/>
  <c r="BT179" i="24" s="1"/>
  <c r="AF78" i="24"/>
  <c r="AK78" i="24" s="1"/>
  <c r="AG157" i="24"/>
  <c r="AG101" i="24"/>
  <c r="AK101" i="24" s="1"/>
  <c r="AF128" i="24"/>
  <c r="AK128" i="24" s="1"/>
  <c r="AG112" i="24"/>
  <c r="AG181" i="24"/>
  <c r="AK181" i="24" s="1"/>
  <c r="AJ112" i="24"/>
  <c r="AG10" i="24"/>
  <c r="AK10" i="24" s="1"/>
  <c r="AG92" i="24"/>
  <c r="AN92" i="24" s="1"/>
  <c r="AG208" i="24"/>
  <c r="AK208" i="24" s="1"/>
  <c r="AG196" i="24"/>
  <c r="AF183" i="24"/>
  <c r="AN183" i="24" s="1"/>
  <c r="AX183" i="24" s="1"/>
  <c r="AF137" i="24"/>
  <c r="AN137" i="24" s="1"/>
  <c r="AF196" i="24"/>
  <c r="AG162" i="24"/>
  <c r="AG46" i="24"/>
  <c r="AN46" i="24" s="1"/>
  <c r="AF25" i="24"/>
  <c r="AG186" i="24"/>
  <c r="AK186" i="24" s="1"/>
  <c r="AF142" i="24"/>
  <c r="AN142" i="24" s="1"/>
  <c r="BT142" i="24" s="1"/>
  <c r="AG141" i="24"/>
  <c r="AK141" i="24" s="1"/>
  <c r="AT100" i="24"/>
  <c r="BA100" i="24" s="1"/>
  <c r="AG148" i="24"/>
  <c r="AN148" i="24" s="1"/>
  <c r="AG96" i="24"/>
  <c r="AN96" i="24" s="1"/>
  <c r="AG206" i="24"/>
  <c r="AK206" i="24" s="1"/>
  <c r="AG177" i="24"/>
  <c r="AN177" i="24" s="1"/>
  <c r="AG85" i="24"/>
  <c r="AN85" i="24" s="1"/>
  <c r="BV85" i="24" s="1"/>
  <c r="AG51" i="24"/>
  <c r="AG95" i="24"/>
  <c r="AK95" i="24" s="1"/>
  <c r="AG203" i="24"/>
  <c r="AK203" i="24" s="1"/>
  <c r="AT96" i="24"/>
  <c r="BA96" i="24" s="1"/>
  <c r="AG14" i="24"/>
  <c r="AK14" i="24" s="1"/>
  <c r="AG119" i="24"/>
  <c r="AK119" i="24" s="1"/>
  <c r="AJ122" i="24"/>
  <c r="AJ18" i="24"/>
  <c r="AG167" i="24"/>
  <c r="AG18" i="24"/>
  <c r="AN18" i="24" s="1"/>
  <c r="BI18" i="24" s="1"/>
  <c r="AG54" i="24"/>
  <c r="AN54" i="24" s="1"/>
  <c r="CD54" i="24" s="1"/>
  <c r="AF170" i="24"/>
  <c r="AK170" i="24" s="1"/>
  <c r="AT105" i="24"/>
  <c r="BA105" i="24" s="1"/>
  <c r="AG23" i="24"/>
  <c r="AG159" i="24"/>
  <c r="AG105" i="24"/>
  <c r="AK105" i="24" s="1"/>
  <c r="AG145" i="24"/>
  <c r="AN145" i="24" s="1"/>
  <c r="BT145" i="24" s="1"/>
  <c r="AG36" i="24"/>
  <c r="AN36" i="24" s="1"/>
  <c r="BV36" i="24" s="1"/>
  <c r="AF122" i="24"/>
  <c r="AF112" i="24"/>
  <c r="AG184" i="24"/>
  <c r="AK184" i="24" s="1"/>
  <c r="AG187" i="24"/>
  <c r="AN187" i="24" s="1"/>
  <c r="AJ21" i="24"/>
  <c r="AJ31" i="24"/>
  <c r="AG199" i="24"/>
  <c r="AK199" i="24" s="1"/>
  <c r="AI13" i="24"/>
  <c r="AJ13" i="24" s="1"/>
  <c r="AG100" i="24"/>
  <c r="AN100" i="24" s="1"/>
  <c r="AX100" i="24" s="1"/>
  <c r="AF56" i="24"/>
  <c r="AN56" i="24" s="1"/>
  <c r="AX56" i="24" s="1"/>
  <c r="AG27" i="24"/>
  <c r="AK27" i="24" s="1"/>
  <c r="AG125" i="24"/>
  <c r="AN125" i="24" s="1"/>
  <c r="BH125" i="24" s="1"/>
  <c r="AG192" i="24"/>
  <c r="AK192" i="24" s="1"/>
  <c r="AF159" i="24"/>
  <c r="AG205" i="24"/>
  <c r="AK205" i="24" s="1"/>
  <c r="AF167" i="24"/>
  <c r="AT87" i="24"/>
  <c r="BA87" i="24" s="1"/>
  <c r="AF23" i="24"/>
  <c r="AF83" i="24"/>
  <c r="AN83" i="24" s="1"/>
  <c r="AX83" i="24" s="1"/>
  <c r="AG41" i="24"/>
  <c r="AF152" i="24"/>
  <c r="AG161" i="24"/>
  <c r="AK161" i="24" s="1"/>
  <c r="AG136" i="24"/>
  <c r="AJ19" i="24"/>
  <c r="AJ123" i="24"/>
  <c r="AF73" i="24"/>
  <c r="AK73" i="24" s="1"/>
  <c r="AG207" i="24"/>
  <c r="AG210" i="24"/>
  <c r="AG134" i="24"/>
  <c r="AK134" i="24" s="1"/>
  <c r="AG188" i="24"/>
  <c r="AK188" i="24" s="1"/>
  <c r="AG163" i="24"/>
  <c r="AK163" i="24" s="1"/>
  <c r="AT60" i="24"/>
  <c r="BA60" i="24" s="1"/>
  <c r="AJ29" i="24"/>
  <c r="AG149" i="24"/>
  <c r="AK149" i="24" s="1"/>
  <c r="AG87" i="24"/>
  <c r="AK87" i="24" s="1"/>
  <c r="AF182" i="24"/>
  <c r="AK182" i="24" s="1"/>
  <c r="AF165" i="24"/>
  <c r="AK165" i="24" s="1"/>
  <c r="AF162" i="24"/>
  <c r="AG50" i="24"/>
  <c r="AK50" i="24" s="1"/>
  <c r="AG60" i="24"/>
  <c r="AK60" i="24" s="1"/>
  <c r="AG28" i="24"/>
  <c r="AN28" i="24" s="1"/>
  <c r="AT55" i="24"/>
  <c r="BA55" i="24" s="1"/>
  <c r="AG72" i="24"/>
  <c r="AN72" i="24" s="1"/>
  <c r="AG172" i="24"/>
  <c r="X35" i="24"/>
  <c r="AA35" i="24" s="1"/>
  <c r="AB35" i="24" s="1"/>
  <c r="AC35" i="24" s="1"/>
  <c r="AJ35" i="24" s="1"/>
  <c r="AJ28" i="24"/>
  <c r="AG42" i="24"/>
  <c r="AN42" i="24" s="1"/>
  <c r="BV42" i="24" s="1"/>
  <c r="AJ115" i="24"/>
  <c r="AG55" i="24"/>
  <c r="AJ116" i="24"/>
  <c r="X71" i="24"/>
  <c r="AA71" i="24" s="1"/>
  <c r="AB71" i="24" s="1"/>
  <c r="AC71" i="24" s="1"/>
  <c r="W11" i="24"/>
  <c r="Y11" i="24" s="1"/>
  <c r="AI43" i="24"/>
  <c r="AJ43" i="24" s="1"/>
  <c r="AG31" i="24"/>
  <c r="AN31" i="24" s="1"/>
  <c r="AG115" i="24"/>
  <c r="AG64" i="24"/>
  <c r="B126" i="2"/>
  <c r="AG97" i="24"/>
  <c r="AJ33" i="24"/>
  <c r="AG40" i="24"/>
  <c r="AN40" i="24" s="1"/>
  <c r="AG116" i="24"/>
  <c r="AN116" i="24" s="1"/>
  <c r="AG201" i="24"/>
  <c r="AN201" i="24" s="1"/>
  <c r="AG169" i="24"/>
  <c r="AG131" i="24"/>
  <c r="AK131" i="24" s="1"/>
  <c r="AG194" i="24"/>
  <c r="AK194" i="24" s="1"/>
  <c r="AG155" i="24"/>
  <c r="AE65" i="24"/>
  <c r="AF65" i="24" s="1"/>
  <c r="AG82" i="24"/>
  <c r="AN82" i="24" s="1"/>
  <c r="CD82" i="24" s="1"/>
  <c r="AG63" i="24"/>
  <c r="AN63" i="24" s="1"/>
  <c r="CD63" i="24" s="1"/>
  <c r="AF74" i="24"/>
  <c r="AN74" i="24" s="1"/>
  <c r="CD74" i="24" s="1"/>
  <c r="AG21" i="24"/>
  <c r="AN21" i="24" s="1"/>
  <c r="AF55" i="24"/>
  <c r="AG19" i="24"/>
  <c r="AN19" i="24" s="1"/>
  <c r="AG91" i="24"/>
  <c r="AK91" i="24" s="1"/>
  <c r="AG79" i="24"/>
  <c r="AN79" i="24" s="1"/>
  <c r="CD79" i="24" s="1"/>
  <c r="AF154" i="24"/>
  <c r="AN154" i="24" s="1"/>
  <c r="BH154" i="24" s="1"/>
  <c r="AG123" i="24"/>
  <c r="W99" i="24"/>
  <c r="Y99" i="24" s="1"/>
  <c r="AG33" i="24"/>
  <c r="AT42" i="24"/>
  <c r="BA42" i="24" s="1"/>
  <c r="AE22" i="24"/>
  <c r="AF22" i="24" s="1"/>
  <c r="AI8" i="24"/>
  <c r="AJ8" i="24" s="1"/>
  <c r="AF33" i="24"/>
  <c r="AE26" i="24"/>
  <c r="AF26" i="24" s="1"/>
  <c r="AG104" i="24"/>
  <c r="AN104" i="24" s="1"/>
  <c r="BV104" i="24" s="1"/>
  <c r="AG32" i="24"/>
  <c r="AN32" i="24" s="1"/>
  <c r="AX32" i="24" s="1"/>
  <c r="AG68" i="24"/>
  <c r="AN68" i="24" s="1"/>
  <c r="CD68" i="24" s="1"/>
  <c r="AG86" i="24"/>
  <c r="AK86" i="24" s="1"/>
  <c r="AG59" i="24"/>
  <c r="AN59" i="24" s="1"/>
  <c r="W88" i="24"/>
  <c r="Y88" i="24" s="1"/>
  <c r="AG29" i="24"/>
  <c r="AN29" i="24" s="1"/>
  <c r="AE43" i="24"/>
  <c r="AG43" i="24" s="1"/>
  <c r="AF70" i="24"/>
  <c r="AT70" i="24"/>
  <c r="BA70" i="24" s="1"/>
  <c r="AT69" i="24"/>
  <c r="BA69" i="24" s="1"/>
  <c r="AE13" i="24"/>
  <c r="AF13" i="24" s="1"/>
  <c r="W13" i="24"/>
  <c r="Y13" i="24" s="1"/>
  <c r="AI71" i="24"/>
  <c r="AG69" i="24"/>
  <c r="AK69" i="24" s="1"/>
  <c r="AG53" i="24"/>
  <c r="AN53" i="24" s="1"/>
  <c r="AX53" i="24" s="1"/>
  <c r="X49" i="24"/>
  <c r="AA49" i="24" s="1"/>
  <c r="AB49" i="24" s="1"/>
  <c r="AC49" i="24" s="1"/>
  <c r="AJ49" i="24" s="1"/>
  <c r="AE71" i="24"/>
  <c r="AF71" i="24" s="1"/>
  <c r="P8" i="24"/>
  <c r="P94" i="24"/>
  <c r="AE102" i="24"/>
  <c r="AF102" i="24" s="1"/>
  <c r="AP94" i="24"/>
  <c r="W61" i="24"/>
  <c r="Y61" i="24" s="1"/>
  <c r="P93" i="24"/>
  <c r="W65" i="24"/>
  <c r="Y65" i="24" s="1"/>
  <c r="W6" i="24"/>
  <c r="Y6" i="24" s="1"/>
  <c r="X22" i="24"/>
  <c r="AA22" i="24" s="1"/>
  <c r="AB22" i="24" s="1"/>
  <c r="AC22" i="24" s="1"/>
  <c r="AP49" i="24"/>
  <c r="P77" i="24"/>
  <c r="X37" i="24"/>
  <c r="AA37" i="24" s="1"/>
  <c r="AB37" i="24" s="1"/>
  <c r="AC37" i="24" s="1"/>
  <c r="AJ37" i="24" s="1"/>
  <c r="W43" i="24"/>
  <c r="Y43" i="24" s="1"/>
  <c r="X102" i="24"/>
  <c r="AA102" i="24" s="1"/>
  <c r="AB102" i="24" s="1"/>
  <c r="AC102" i="24" s="1"/>
  <c r="AJ102" i="24" s="1"/>
  <c r="P35" i="24"/>
  <c r="AP84" i="24"/>
  <c r="P49" i="24"/>
  <c r="P81" i="24"/>
  <c r="AI22" i="24"/>
  <c r="W102" i="24"/>
  <c r="Y102" i="24" s="1"/>
  <c r="X65" i="24"/>
  <c r="AA65" i="24" s="1"/>
  <c r="AB65" i="24" s="1"/>
  <c r="AC65" i="24" s="1"/>
  <c r="AJ65" i="24" s="1"/>
  <c r="Q38" i="24"/>
  <c r="R38" i="24" s="1"/>
  <c r="Q9" i="24"/>
  <c r="R9" i="24" s="1"/>
  <c r="Q15" i="24"/>
  <c r="R15" i="24" s="1"/>
  <c r="AP90" i="24"/>
  <c r="Q90" i="24"/>
  <c r="R90" i="24" s="1"/>
  <c r="Q47" i="24"/>
  <c r="R47" i="24" s="1"/>
  <c r="AP99" i="24"/>
  <c r="Q99" i="24"/>
  <c r="R99" i="24" s="1"/>
  <c r="Q76" i="24"/>
  <c r="R76" i="24" s="1"/>
  <c r="AP80" i="24"/>
  <c r="Q80" i="24"/>
  <c r="R80" i="24" s="1"/>
  <c r="AP6" i="24"/>
  <c r="Q6" i="24"/>
  <c r="R6" i="24" s="1"/>
  <c r="AP61" i="24"/>
  <c r="Q61" i="24"/>
  <c r="R61" i="24" s="1"/>
  <c r="AP75" i="24"/>
  <c r="Q75" i="24"/>
  <c r="R75" i="24" s="1"/>
  <c r="Q103" i="24"/>
  <c r="R103" i="24" s="1"/>
  <c r="AP44" i="24"/>
  <c r="Q44" i="24"/>
  <c r="R44" i="24" s="1"/>
  <c r="Q102" i="24"/>
  <c r="R102" i="24" s="1"/>
  <c r="Q65" i="24"/>
  <c r="R65" i="24" s="1"/>
  <c r="P52" i="24"/>
  <c r="Q52" i="24"/>
  <c r="R52" i="24" s="1"/>
  <c r="AP22" i="24"/>
  <c r="Q22" i="24"/>
  <c r="R22" i="24" s="1"/>
  <c r="AP45" i="24"/>
  <c r="Q45" i="24"/>
  <c r="R45" i="24" s="1"/>
  <c r="P39" i="24"/>
  <c r="Q39" i="24"/>
  <c r="R39" i="24" s="1"/>
  <c r="Q37" i="24"/>
  <c r="R37" i="24" s="1"/>
  <c r="AP88" i="24"/>
  <c r="Q88" i="24"/>
  <c r="R88" i="24" s="1"/>
  <c r="AP67" i="24"/>
  <c r="Q67" i="24"/>
  <c r="R67" i="24" s="1"/>
  <c r="Q77" i="24"/>
  <c r="R77" i="24" s="1"/>
  <c r="Q17" i="24"/>
  <c r="R17" i="24" s="1"/>
  <c r="AP16" i="24"/>
  <c r="Q16" i="24"/>
  <c r="R16" i="24" s="1"/>
  <c r="Q7" i="24"/>
  <c r="R7" i="24" s="1"/>
  <c r="Q98" i="24"/>
  <c r="R98" i="24" s="1"/>
  <c r="P57" i="24"/>
  <c r="Q57" i="24"/>
  <c r="R57" i="24" s="1"/>
  <c r="Q58" i="24"/>
  <c r="R58" i="24" s="1"/>
  <c r="AP43" i="24"/>
  <c r="Q43" i="24"/>
  <c r="R43" i="24" s="1"/>
  <c r="P71" i="24"/>
  <c r="Q71" i="24"/>
  <c r="R71" i="24" s="1"/>
  <c r="P11" i="24"/>
  <c r="Q11" i="24"/>
  <c r="R11" i="24" s="1"/>
  <c r="AP12" i="24"/>
  <c r="Q12" i="24"/>
  <c r="R12" i="24" s="1"/>
  <c r="Q13" i="24"/>
  <c r="R13" i="24" s="1"/>
  <c r="P26" i="24"/>
  <c r="Q26" i="24"/>
  <c r="R26" i="24" s="1"/>
  <c r="AP62" i="24"/>
  <c r="Q62" i="24"/>
  <c r="R62" i="24" s="1"/>
  <c r="AP13" i="24"/>
  <c r="P98" i="24"/>
  <c r="AE93" i="24"/>
  <c r="AF93" i="24" s="1"/>
  <c r="W37" i="24"/>
  <c r="Y37" i="24" s="1"/>
  <c r="AI94" i="24"/>
  <c r="AE49" i="24"/>
  <c r="AF49" i="24" s="1"/>
  <c r="AP57" i="24"/>
  <c r="W94" i="24"/>
  <c r="Y94" i="24" s="1"/>
  <c r="P62" i="24"/>
  <c r="P13" i="24"/>
  <c r="P43" i="24"/>
  <c r="AI93" i="24"/>
  <c r="AE37" i="24"/>
  <c r="W8" i="24"/>
  <c r="Y8" i="24" s="1"/>
  <c r="X94" i="24"/>
  <c r="W49" i="24"/>
  <c r="Y49" i="24" s="1"/>
  <c r="P7" i="24"/>
  <c r="P58" i="24"/>
  <c r="X93" i="24"/>
  <c r="AA93" i="24" s="1"/>
  <c r="AB93" i="24" s="1"/>
  <c r="AC93" i="24" s="1"/>
  <c r="P12" i="24"/>
  <c r="AE8" i="24"/>
  <c r="P103" i="24"/>
  <c r="P102" i="24"/>
  <c r="BI5" i="24"/>
  <c r="P6" i="24"/>
  <c r="P75" i="24"/>
  <c r="AP65" i="24"/>
  <c r="P65" i="24"/>
  <c r="AE34" i="24"/>
  <c r="AF34" i="24" s="1"/>
  <c r="X99" i="24"/>
  <c r="AA99" i="24" s="1"/>
  <c r="AB99" i="24" s="1"/>
  <c r="AC99" i="24" s="1"/>
  <c r="AJ99" i="24" s="1"/>
  <c r="AI98" i="24"/>
  <c r="W98" i="24"/>
  <c r="Y98" i="24" s="1"/>
  <c r="AE98" i="24"/>
  <c r="X98" i="24"/>
  <c r="AA98" i="24" s="1"/>
  <c r="AB98" i="24" s="1"/>
  <c r="AC98" i="24" s="1"/>
  <c r="AE57" i="24"/>
  <c r="AI57" i="24"/>
  <c r="W57" i="24"/>
  <c r="Y57" i="24" s="1"/>
  <c r="X57" i="24"/>
  <c r="AA57" i="24" s="1"/>
  <c r="AB57" i="24" s="1"/>
  <c r="AC57" i="24" s="1"/>
  <c r="X58" i="24"/>
  <c r="AA58" i="24" s="1"/>
  <c r="AB58" i="24" s="1"/>
  <c r="AC58" i="24" s="1"/>
  <c r="AJ58" i="24" s="1"/>
  <c r="AE58" i="24"/>
  <c r="W58" i="24"/>
  <c r="Y58" i="24" s="1"/>
  <c r="X11" i="24"/>
  <c r="AA11" i="24" s="1"/>
  <c r="AB11" i="24" s="1"/>
  <c r="AC11" i="24" s="1"/>
  <c r="AJ11" i="24" s="1"/>
  <c r="AE11" i="24"/>
  <c r="AE12" i="24"/>
  <c r="AI12" i="24"/>
  <c r="X12" i="24"/>
  <c r="AA12" i="24" s="1"/>
  <c r="AB12" i="24" s="1"/>
  <c r="AC12" i="24" s="1"/>
  <c r="AP30" i="24"/>
  <c r="AI26" i="24"/>
  <c r="X26" i="24"/>
  <c r="AI62" i="24"/>
  <c r="W62" i="24"/>
  <c r="Y62" i="24" s="1"/>
  <c r="AE62" i="24"/>
  <c r="X62" i="24"/>
  <c r="AA62" i="24" s="1"/>
  <c r="AB62" i="24" s="1"/>
  <c r="AC62" i="24" s="1"/>
  <c r="AP20" i="24"/>
  <c r="AP48" i="24"/>
  <c r="AP34" i="24"/>
  <c r="W9" i="24"/>
  <c r="Y9" i="24" s="1"/>
  <c r="AI9" i="24"/>
  <c r="AE9" i="24"/>
  <c r="X9" i="24"/>
  <c r="AA9" i="24" s="1"/>
  <c r="AB9" i="24" s="1"/>
  <c r="AC9" i="24" s="1"/>
  <c r="AE90" i="24"/>
  <c r="X90" i="24"/>
  <c r="AA90" i="24" s="1"/>
  <c r="AB90" i="24" s="1"/>
  <c r="AC90" i="24" s="1"/>
  <c r="AI90" i="24"/>
  <c r="AE47" i="24"/>
  <c r="X47" i="24"/>
  <c r="AA47" i="24" s="1"/>
  <c r="AB47" i="24" s="1"/>
  <c r="AC47" i="24" s="1"/>
  <c r="AJ47" i="24" s="1"/>
  <c r="AE20" i="24"/>
  <c r="X20" i="24"/>
  <c r="AA20" i="24" s="1"/>
  <c r="AB20" i="24" s="1"/>
  <c r="AC20" i="24" s="1"/>
  <c r="AI20" i="24"/>
  <c r="P22" i="24"/>
  <c r="W20" i="24"/>
  <c r="Y20" i="24" s="1"/>
  <c r="W34" i="24"/>
  <c r="Y34" i="24" s="1"/>
  <c r="AE99" i="24"/>
  <c r="W47" i="24"/>
  <c r="Y47" i="24" s="1"/>
  <c r="AI61" i="24"/>
  <c r="AJ61" i="24" s="1"/>
  <c r="AE61" i="24"/>
  <c r="AF61" i="24" s="1"/>
  <c r="AI75" i="24"/>
  <c r="W75" i="24"/>
  <c r="Y75" i="24" s="1"/>
  <c r="AE75" i="24"/>
  <c r="X75" i="24"/>
  <c r="AA75" i="24" s="1"/>
  <c r="AB75" i="24" s="1"/>
  <c r="AC75" i="24" s="1"/>
  <c r="AI103" i="24"/>
  <c r="AE103" i="24"/>
  <c r="W103" i="24"/>
  <c r="Y103" i="24" s="1"/>
  <c r="X103" i="24"/>
  <c r="AA103" i="24" s="1"/>
  <c r="AB103" i="24" s="1"/>
  <c r="AC103" i="24" s="1"/>
  <c r="AI44" i="24"/>
  <c r="X44" i="24"/>
  <c r="AA44" i="24" s="1"/>
  <c r="AB44" i="24" s="1"/>
  <c r="AC44" i="24" s="1"/>
  <c r="W44" i="24"/>
  <c r="Y44" i="24" s="1"/>
  <c r="R84" i="24"/>
  <c r="P84" i="24"/>
  <c r="AI52" i="24"/>
  <c r="X52" i="24"/>
  <c r="AA52" i="24" s="1"/>
  <c r="AB52" i="24" s="1"/>
  <c r="AC52" i="24" s="1"/>
  <c r="AE52" i="24"/>
  <c r="W52" i="24"/>
  <c r="Y52" i="24" s="1"/>
  <c r="W45" i="24"/>
  <c r="Y45" i="24" s="1"/>
  <c r="AI45" i="24"/>
  <c r="AE45" i="24"/>
  <c r="X45" i="24"/>
  <c r="AA45" i="24" s="1"/>
  <c r="AB45" i="24" s="1"/>
  <c r="AC45" i="24" s="1"/>
  <c r="AP8" i="24"/>
  <c r="AP81" i="24"/>
  <c r="AP35" i="24"/>
  <c r="AP93" i="24"/>
  <c r="AP103" i="24"/>
  <c r="AE30" i="24"/>
  <c r="W30" i="24"/>
  <c r="Y30" i="24" s="1"/>
  <c r="X30" i="24"/>
  <c r="AA30" i="24" s="1"/>
  <c r="AB30" i="24" s="1"/>
  <c r="AC30" i="24" s="1"/>
  <c r="AI30" i="24"/>
  <c r="W38" i="24"/>
  <c r="Y38" i="24" s="1"/>
  <c r="AI38" i="24"/>
  <c r="AE38" i="24"/>
  <c r="X38" i="24"/>
  <c r="AA38" i="24" s="1"/>
  <c r="AB38" i="24" s="1"/>
  <c r="AC38" i="24" s="1"/>
  <c r="W15" i="24"/>
  <c r="Y15" i="24" s="1"/>
  <c r="X15" i="24"/>
  <c r="AA15" i="24" s="1"/>
  <c r="AB15" i="24" s="1"/>
  <c r="AC15" i="24" s="1"/>
  <c r="AJ15" i="24" s="1"/>
  <c r="AP52" i="24"/>
  <c r="AE24" i="24"/>
  <c r="W24" i="24"/>
  <c r="Y24" i="24" s="1"/>
  <c r="X24" i="24"/>
  <c r="AA24" i="24" s="1"/>
  <c r="AB24" i="24" s="1"/>
  <c r="AC24" i="24" s="1"/>
  <c r="AI24" i="24"/>
  <c r="AI48" i="24"/>
  <c r="X48" i="24"/>
  <c r="AA48" i="24" s="1"/>
  <c r="AB48" i="24" s="1"/>
  <c r="AC48" i="24" s="1"/>
  <c r="AE66" i="24"/>
  <c r="AI66" i="24"/>
  <c r="X66" i="24"/>
  <c r="AA66" i="24" s="1"/>
  <c r="AB66" i="24" s="1"/>
  <c r="AC66" i="24" s="1"/>
  <c r="W66" i="24"/>
  <c r="Y66" i="24" s="1"/>
  <c r="X76" i="24"/>
  <c r="AA76" i="24" s="1"/>
  <c r="AB76" i="24" s="1"/>
  <c r="AC76" i="24" s="1"/>
  <c r="W76" i="24"/>
  <c r="Y76" i="24" s="1"/>
  <c r="AE76" i="24"/>
  <c r="AI76" i="24"/>
  <c r="W80" i="24"/>
  <c r="Y80" i="24" s="1"/>
  <c r="AE80" i="24"/>
  <c r="AI80" i="24"/>
  <c r="X80" i="24"/>
  <c r="AA80" i="24" s="1"/>
  <c r="AB80" i="24" s="1"/>
  <c r="AC80" i="24" s="1"/>
  <c r="AF44" i="24"/>
  <c r="AT53" i="24"/>
  <c r="BA53" i="24" s="1"/>
  <c r="AP102" i="24"/>
  <c r="W90" i="24"/>
  <c r="Y90" i="24" s="1"/>
  <c r="P45" i="24"/>
  <c r="AE15" i="24"/>
  <c r="AF15" i="24" s="1"/>
  <c r="P44" i="24"/>
  <c r="X34" i="24"/>
  <c r="AA34" i="24" s="1"/>
  <c r="AB34" i="24" s="1"/>
  <c r="AC34" i="24" s="1"/>
  <c r="AJ34" i="24" s="1"/>
  <c r="AE48" i="24"/>
  <c r="AF48" i="24" s="1"/>
  <c r="AP71" i="24"/>
  <c r="AP11" i="24"/>
  <c r="AE39" i="24"/>
  <c r="X39" i="24"/>
  <c r="AA39" i="24" s="1"/>
  <c r="AB39" i="24" s="1"/>
  <c r="AC39" i="24" s="1"/>
  <c r="AI39" i="24"/>
  <c r="W39" i="24"/>
  <c r="Y39" i="24" s="1"/>
  <c r="AI84" i="24"/>
  <c r="X84" i="24"/>
  <c r="AA84" i="24" s="1"/>
  <c r="AB84" i="24" s="1"/>
  <c r="AC84" i="24" s="1"/>
  <c r="AE84" i="24"/>
  <c r="W84" i="24"/>
  <c r="Y84" i="24" s="1"/>
  <c r="AP26" i="24"/>
  <c r="AI88" i="24"/>
  <c r="AJ88" i="24" s="1"/>
  <c r="AE88" i="24"/>
  <c r="AF88" i="24" s="1"/>
  <c r="AE67" i="24"/>
  <c r="AI67" i="24"/>
  <c r="X67" i="24"/>
  <c r="AA67" i="24" s="1"/>
  <c r="AB67" i="24" s="1"/>
  <c r="AC67" i="24" s="1"/>
  <c r="W67" i="24"/>
  <c r="Y67" i="24" s="1"/>
  <c r="X77" i="24"/>
  <c r="AA77" i="24" s="1"/>
  <c r="AB77" i="24" s="1"/>
  <c r="AC77" i="24" s="1"/>
  <c r="AI77" i="24"/>
  <c r="AE77" i="24"/>
  <c r="W77" i="24"/>
  <c r="Y77" i="24" s="1"/>
  <c r="AI17" i="24"/>
  <c r="X17" i="24"/>
  <c r="AA17" i="24" s="1"/>
  <c r="AB17" i="24" s="1"/>
  <c r="AC17" i="24" s="1"/>
  <c r="AE17" i="24"/>
  <c r="W17" i="24"/>
  <c r="Y17" i="24" s="1"/>
  <c r="AE16" i="24"/>
  <c r="X16" i="24"/>
  <c r="AA16" i="24" s="1"/>
  <c r="AB16" i="24" s="1"/>
  <c r="AC16" i="24" s="1"/>
  <c r="AI16" i="24"/>
  <c r="AI81" i="24"/>
  <c r="X81" i="24"/>
  <c r="AA81" i="24" s="1"/>
  <c r="AB81" i="24" s="1"/>
  <c r="AC81" i="24" s="1"/>
  <c r="W81" i="24"/>
  <c r="Y81" i="24" s="1"/>
  <c r="W35" i="24"/>
  <c r="Y35" i="24" s="1"/>
  <c r="AE35" i="24"/>
  <c r="AF35" i="24" s="1"/>
  <c r="W7" i="24"/>
  <c r="Y7" i="24" s="1"/>
  <c r="X7" i="24"/>
  <c r="AA7" i="24" s="1"/>
  <c r="AB7" i="24" s="1"/>
  <c r="AC7" i="24" s="1"/>
  <c r="AI7" i="24"/>
  <c r="AE7" i="24"/>
  <c r="AI6" i="24"/>
  <c r="AJ6" i="24" s="1"/>
  <c r="AE6" i="24"/>
  <c r="AT50" i="24"/>
  <c r="BA50" i="24" s="1"/>
  <c r="AT32" i="24"/>
  <c r="BA32" i="24" s="1"/>
  <c r="AT23" i="24"/>
  <c r="BA23" i="24" s="1"/>
  <c r="AT25" i="24"/>
  <c r="BA25" i="24" s="1"/>
  <c r="AT14" i="24"/>
  <c r="BA14" i="24" s="1"/>
  <c r="AX5" i="24"/>
  <c r="AT5" i="24"/>
  <c r="BA5" i="24" s="1"/>
  <c r="AF110" i="24"/>
  <c r="AK110" i="24" s="1"/>
  <c r="BJ5" i="24"/>
  <c r="AK5" i="24"/>
  <c r="AS5" i="24"/>
  <c r="AQ5" i="24"/>
  <c r="BH5" i="24"/>
  <c r="BT5" i="24"/>
  <c r="AF110" i="25"/>
  <c r="AJ110" i="25" s="1"/>
  <c r="Z5" i="25"/>
  <c r="AA5" i="25" s="1"/>
  <c r="AB5" i="25" s="1"/>
  <c r="AI5" i="25" s="1"/>
  <c r="AF5" i="25"/>
  <c r="AS40" i="25"/>
  <c r="AX40" i="25" s="1"/>
  <c r="AS13" i="25"/>
  <c r="AX13" i="25" s="1"/>
  <c r="AS29" i="25"/>
  <c r="AX29" i="25" s="1"/>
  <c r="AS44" i="25"/>
  <c r="AX44" i="25" s="1"/>
  <c r="AS14" i="25"/>
  <c r="AX14" i="25" s="1"/>
  <c r="AS36" i="25"/>
  <c r="AX36" i="25" s="1"/>
  <c r="AS9" i="25"/>
  <c r="AX9" i="25" s="1"/>
  <c r="AS47" i="25"/>
  <c r="AX47" i="25" s="1"/>
  <c r="AS22" i="25"/>
  <c r="AX22" i="25" s="1"/>
  <c r="AS88" i="25"/>
  <c r="AX88" i="25" s="1"/>
  <c r="AS79" i="25"/>
  <c r="AX79" i="25" s="1"/>
  <c r="AS20" i="25"/>
  <c r="AX20" i="25" s="1"/>
  <c r="AS96" i="25"/>
  <c r="AX96" i="25" s="1"/>
  <c r="AS62" i="25"/>
  <c r="AX62" i="25" s="1"/>
  <c r="AS86" i="25"/>
  <c r="AX86" i="25" s="1"/>
  <c r="AS93" i="25"/>
  <c r="AX93" i="25" s="1"/>
  <c r="AS61" i="25"/>
  <c r="AX61" i="25" s="1"/>
  <c r="AS70" i="25"/>
  <c r="AX70" i="25" s="1"/>
  <c r="AS26" i="25"/>
  <c r="AX26" i="25" s="1"/>
  <c r="AS38" i="25"/>
  <c r="AX38" i="25" s="1"/>
  <c r="AS24" i="25"/>
  <c r="AX24" i="25" s="1"/>
  <c r="AS104" i="25"/>
  <c r="AX104" i="25" s="1"/>
  <c r="AS27" i="25"/>
  <c r="AX27" i="25" s="1"/>
  <c r="AS102" i="25"/>
  <c r="AX102" i="25" s="1"/>
  <c r="AS17" i="25"/>
  <c r="AX17" i="25" s="1"/>
  <c r="AS48" i="25"/>
  <c r="AX48" i="25" s="1"/>
  <c r="AS30" i="25"/>
  <c r="AX30" i="25" s="1"/>
  <c r="AS103" i="25"/>
  <c r="AX103" i="25" s="1"/>
  <c r="AS28" i="25"/>
  <c r="AX28" i="25" s="1"/>
  <c r="AS105" i="25"/>
  <c r="AX105" i="25" s="1"/>
  <c r="B104" i="2" s="1"/>
  <c r="AS81" i="25"/>
  <c r="AX81" i="25" s="1"/>
  <c r="AS11" i="25"/>
  <c r="AX11" i="25" s="1"/>
  <c r="AS91" i="25"/>
  <c r="AX91" i="25" s="1"/>
  <c r="AS49" i="25"/>
  <c r="AX49" i="25" s="1"/>
  <c r="AS6" i="25"/>
  <c r="AX6" i="25" s="1"/>
  <c r="AS56" i="25"/>
  <c r="AX56" i="25" s="1"/>
  <c r="AS76" i="25"/>
  <c r="AX76" i="25" s="1"/>
  <c r="AS92" i="25"/>
  <c r="AX92" i="25" s="1"/>
  <c r="AS78" i="25"/>
  <c r="AX78" i="25" s="1"/>
  <c r="AS94" i="25"/>
  <c r="AX94" i="25" s="1"/>
  <c r="AS41" i="25"/>
  <c r="AX41" i="25" s="1"/>
  <c r="AS21" i="25"/>
  <c r="AX21" i="25" s="1"/>
  <c r="AS8" i="25"/>
  <c r="AX8" i="25" s="1"/>
  <c r="AS67" i="25"/>
  <c r="AX67" i="25" s="1"/>
  <c r="AS42" i="25"/>
  <c r="AX42" i="25" s="1"/>
  <c r="AS101" i="25"/>
  <c r="AX101" i="25" s="1"/>
  <c r="AS51" i="25"/>
  <c r="AX51" i="25" s="1"/>
  <c r="AS64" i="25"/>
  <c r="AX64" i="25" s="1"/>
  <c r="AS12" i="25"/>
  <c r="AX12" i="25" s="1"/>
  <c r="AS87" i="25"/>
  <c r="AX87" i="25" s="1"/>
  <c r="AS37" i="25"/>
  <c r="AX37" i="25" s="1"/>
  <c r="AS82" i="25"/>
  <c r="AX82" i="25" s="1"/>
  <c r="AS54" i="25"/>
  <c r="AX54" i="25" s="1"/>
  <c r="AS68" i="25"/>
  <c r="AX68" i="25" s="1"/>
  <c r="AS52" i="25"/>
  <c r="AX52" i="25" s="1"/>
  <c r="AS63" i="25"/>
  <c r="AX63" i="25" s="1"/>
  <c r="AS35" i="25"/>
  <c r="AX35" i="25" s="1"/>
  <c r="AS53" i="25"/>
  <c r="AX53" i="25" s="1"/>
  <c r="AS83" i="25"/>
  <c r="AX83" i="25" s="1"/>
  <c r="AS59" i="25"/>
  <c r="AX59" i="25" s="1"/>
  <c r="AS100" i="25"/>
  <c r="AX100" i="25" s="1"/>
  <c r="AS15" i="25"/>
  <c r="AX15" i="25" s="1"/>
  <c r="AS71" i="25"/>
  <c r="AX71" i="25" s="1"/>
  <c r="AS97" i="25"/>
  <c r="AX97" i="25" s="1"/>
  <c r="AS31" i="25"/>
  <c r="AX31" i="25" s="1"/>
  <c r="AS69" i="25"/>
  <c r="AX69" i="25" s="1"/>
  <c r="AJ216" i="25"/>
  <c r="AM216" i="25"/>
  <c r="AJ265" i="25"/>
  <c r="AM265" i="25"/>
  <c r="CD265" i="25" s="1"/>
  <c r="AM275" i="25"/>
  <c r="CD275" i="25" s="1"/>
  <c r="AJ275" i="25"/>
  <c r="AJ189" i="25"/>
  <c r="AM189" i="25"/>
  <c r="BV189" i="25" s="1"/>
  <c r="AJ224" i="25"/>
  <c r="AM224" i="25"/>
  <c r="CD224" i="25" s="1"/>
  <c r="AJ259" i="25"/>
  <c r="AM259" i="25"/>
  <c r="CD259" i="25" s="1"/>
  <c r="AJ156" i="25"/>
  <c r="AM156" i="25"/>
  <c r="BV156" i="25" s="1"/>
  <c r="AM162" i="25"/>
  <c r="AJ162" i="25"/>
  <c r="AM174" i="25"/>
  <c r="BV174" i="25" s="1"/>
  <c r="AJ174" i="25"/>
  <c r="AJ31" i="25"/>
  <c r="AM31" i="25"/>
  <c r="AJ116" i="25"/>
  <c r="AM116" i="25"/>
  <c r="BV116" i="25" s="1"/>
  <c r="AS10" i="25"/>
  <c r="AX10" i="25" s="1"/>
  <c r="AJ59" i="25"/>
  <c r="AM59" i="25"/>
  <c r="CD59" i="25" s="1"/>
  <c r="AJ293" i="25"/>
  <c r="AM293" i="25"/>
  <c r="CD293" i="25" s="1"/>
  <c r="AM138" i="25"/>
  <c r="BV138" i="25" s="1"/>
  <c r="AJ138" i="25"/>
  <c r="AJ127" i="25"/>
  <c r="AM127" i="25"/>
  <c r="BV127" i="25" s="1"/>
  <c r="AJ99" i="25"/>
  <c r="AM99" i="25"/>
  <c r="CD99" i="25" s="1"/>
  <c r="AJ26" i="25"/>
  <c r="AM26" i="25"/>
  <c r="CD26" i="25" s="1"/>
  <c r="AM136" i="25"/>
  <c r="BV136" i="25" s="1"/>
  <c r="AJ136" i="25"/>
  <c r="AM98" i="25"/>
  <c r="BV98" i="25" s="1"/>
  <c r="AJ98" i="25"/>
  <c r="AM254" i="25"/>
  <c r="AJ254" i="25"/>
  <c r="AJ173" i="25"/>
  <c r="AM173" i="25"/>
  <c r="CD173" i="25" s="1"/>
  <c r="AS60" i="25"/>
  <c r="AX60" i="25" s="1"/>
  <c r="AM311" i="25"/>
  <c r="CD311" i="25" s="1"/>
  <c r="AJ311" i="25"/>
  <c r="AM159" i="25"/>
  <c r="BV159" i="25" s="1"/>
  <c r="AJ159" i="25"/>
  <c r="AM103" i="25"/>
  <c r="CD103" i="25" s="1"/>
  <c r="AJ103" i="25"/>
  <c r="AJ85" i="25"/>
  <c r="AM85" i="25"/>
  <c r="BT85" i="25" s="1"/>
  <c r="AJ269" i="25"/>
  <c r="AM269" i="25"/>
  <c r="CD269" i="25" s="1"/>
  <c r="AS57" i="25"/>
  <c r="AX57" i="25" s="1"/>
  <c r="AJ157" i="25"/>
  <c r="AM157" i="25"/>
  <c r="BV157" i="25" s="1"/>
  <c r="AJ242" i="25"/>
  <c r="AM242" i="25"/>
  <c r="CD242" i="25" s="1"/>
  <c r="AM102" i="25"/>
  <c r="CD102" i="25" s="1"/>
  <c r="AJ102" i="25"/>
  <c r="AM93" i="25"/>
  <c r="CD93" i="25" s="1"/>
  <c r="AJ93" i="25"/>
  <c r="AM87" i="25"/>
  <c r="CD87" i="25" s="1"/>
  <c r="AJ87" i="25"/>
  <c r="AJ135" i="25"/>
  <c r="AM135" i="25"/>
  <c r="AM309" i="25"/>
  <c r="CD309" i="25" s="1"/>
  <c r="AJ309" i="25"/>
  <c r="AJ310" i="25"/>
  <c r="AM310" i="25"/>
  <c r="CD310" i="25" s="1"/>
  <c r="AJ15" i="25"/>
  <c r="AM15" i="25"/>
  <c r="BV15" i="25" s="1"/>
  <c r="AM14" i="25"/>
  <c r="CD14" i="25" s="1"/>
  <c r="AJ14" i="25"/>
  <c r="AM257" i="25"/>
  <c r="AJ257" i="25"/>
  <c r="AJ153" i="25"/>
  <c r="AM153" i="25"/>
  <c r="BV153" i="25" s="1"/>
  <c r="AJ210" i="25"/>
  <c r="AM210" i="25"/>
  <c r="BV210" i="25" s="1"/>
  <c r="AS46" i="25"/>
  <c r="AX46" i="25" s="1"/>
  <c r="AM178" i="25"/>
  <c r="BV178" i="25" s="1"/>
  <c r="AJ178" i="25"/>
  <c r="AM57" i="25"/>
  <c r="BT57" i="25" s="1"/>
  <c r="AJ57" i="25"/>
  <c r="AJ272" i="25"/>
  <c r="AM272" i="25"/>
  <c r="CD272" i="25" s="1"/>
  <c r="AS23" i="25"/>
  <c r="AX23" i="25" s="1"/>
  <c r="AM56" i="25"/>
  <c r="AJ56" i="25"/>
  <c r="AS58" i="25"/>
  <c r="AX58" i="25" s="1"/>
  <c r="AJ113" i="25"/>
  <c r="AM113" i="25"/>
  <c r="BV113" i="25" s="1"/>
  <c r="AM155" i="25"/>
  <c r="BV155" i="25" s="1"/>
  <c r="AJ155" i="25"/>
  <c r="AJ180" i="25"/>
  <c r="AM180" i="25"/>
  <c r="BV180" i="25" s="1"/>
  <c r="AS90" i="25"/>
  <c r="AX90" i="25" s="1"/>
  <c r="AM81" i="25"/>
  <c r="CD81" i="25" s="1"/>
  <c r="AJ81" i="25"/>
  <c r="AM139" i="25"/>
  <c r="BV139" i="25" s="1"/>
  <c r="AJ139" i="25"/>
  <c r="AS33" i="25"/>
  <c r="AX33" i="25" s="1"/>
  <c r="AM17" i="25"/>
  <c r="CD17" i="25" s="1"/>
  <c r="AJ17" i="25"/>
  <c r="AM264" i="25"/>
  <c r="CD264" i="25" s="1"/>
  <c r="AJ264" i="25"/>
  <c r="AM66" i="25"/>
  <c r="BT66" i="25" s="1"/>
  <c r="AJ66" i="25"/>
  <c r="AM286" i="25"/>
  <c r="CD286" i="25" s="1"/>
  <c r="AJ286" i="25"/>
  <c r="AJ131" i="25"/>
  <c r="AM131" i="25"/>
  <c r="BV131" i="25" s="1"/>
  <c r="AJ143" i="25"/>
  <c r="AM143" i="25"/>
  <c r="BV143" i="25" s="1"/>
  <c r="AM250" i="25"/>
  <c r="AJ250" i="25"/>
  <c r="AJ244" i="25"/>
  <c r="AM244" i="25"/>
  <c r="CD244" i="25" s="1"/>
  <c r="AM78" i="25"/>
  <c r="CD78" i="25" s="1"/>
  <c r="AJ78" i="25"/>
  <c r="AM35" i="25"/>
  <c r="AJ35" i="25"/>
  <c r="AM53" i="25"/>
  <c r="CD53" i="25" s="1"/>
  <c r="AJ53" i="25"/>
  <c r="AM74" i="25"/>
  <c r="BV74" i="25" s="1"/>
  <c r="AJ74" i="25"/>
  <c r="AM39" i="25"/>
  <c r="BV39" i="25" s="1"/>
  <c r="AJ39" i="25"/>
  <c r="AJ121" i="25"/>
  <c r="AM121" i="25"/>
  <c r="BV121" i="25" s="1"/>
  <c r="AJ170" i="25"/>
  <c r="AM170" i="25"/>
  <c r="BV170" i="25" s="1"/>
  <c r="AM20" i="25"/>
  <c r="CD20" i="25" s="1"/>
  <c r="AJ20" i="25"/>
  <c r="AM260" i="25"/>
  <c r="CD260" i="25" s="1"/>
  <c r="AJ260" i="25"/>
  <c r="AM22" i="25"/>
  <c r="BV22" i="25" s="1"/>
  <c r="AJ22" i="25"/>
  <c r="AM251" i="25"/>
  <c r="AJ251" i="25"/>
  <c r="AJ222" i="25"/>
  <c r="AM222" i="25"/>
  <c r="AJ196" i="25"/>
  <c r="AM196" i="25"/>
  <c r="BV196" i="25" s="1"/>
  <c r="AM16" i="25"/>
  <c r="BT16" i="25" s="1"/>
  <c r="AJ16" i="25"/>
  <c r="AM194" i="25"/>
  <c r="BV194" i="25" s="1"/>
  <c r="AJ194" i="25"/>
  <c r="AJ313" i="25"/>
  <c r="AM313" i="25"/>
  <c r="AJ166" i="25"/>
  <c r="AM166" i="25"/>
  <c r="BV166" i="25" s="1"/>
  <c r="AM41" i="25"/>
  <c r="BV41" i="25" s="1"/>
  <c r="AJ41" i="25"/>
  <c r="AM252" i="25"/>
  <c r="AJ252" i="25"/>
  <c r="AM182" i="25"/>
  <c r="BV182" i="25" s="1"/>
  <c r="AJ182" i="25"/>
  <c r="AJ273" i="25"/>
  <c r="AM273" i="25"/>
  <c r="CD273" i="25" s="1"/>
  <c r="AM55" i="25"/>
  <c r="BV55" i="25" s="1"/>
  <c r="AJ55" i="25"/>
  <c r="AJ233" i="25"/>
  <c r="AM233" i="25"/>
  <c r="CD233" i="25" s="1"/>
  <c r="AM38" i="25"/>
  <c r="CD38" i="25" s="1"/>
  <c r="AJ38" i="25"/>
  <c r="AS73" i="25"/>
  <c r="AX73" i="25" s="1"/>
  <c r="AS25" i="25"/>
  <c r="AX25" i="25" s="1"/>
  <c r="AS98" i="25"/>
  <c r="AX98" i="25" s="1"/>
  <c r="AJ64" i="25"/>
  <c r="AM64" i="25"/>
  <c r="CD64" i="25" s="1"/>
  <c r="AM245" i="25"/>
  <c r="AJ245" i="25"/>
  <c r="AM228" i="25"/>
  <c r="AJ228" i="25"/>
  <c r="AM295" i="25"/>
  <c r="CD295" i="25" s="1"/>
  <c r="AJ295" i="25"/>
  <c r="AM70" i="25"/>
  <c r="CD70" i="25" s="1"/>
  <c r="AJ70" i="25"/>
  <c r="AS43" i="25"/>
  <c r="AX43" i="25" s="1"/>
  <c r="AM217" i="25"/>
  <c r="CD217" i="25" s="1"/>
  <c r="AJ217" i="25"/>
  <c r="AS45" i="25"/>
  <c r="AX45" i="25" s="1"/>
  <c r="AM290" i="25"/>
  <c r="CD290" i="25" s="1"/>
  <c r="AJ290" i="25"/>
  <c r="AJ186" i="25"/>
  <c r="AM186" i="25"/>
  <c r="BV186" i="25" s="1"/>
  <c r="AJ282" i="25"/>
  <c r="AM282" i="25"/>
  <c r="CD282" i="25" s="1"/>
  <c r="AJ270" i="25"/>
  <c r="AM270" i="25"/>
  <c r="CD270" i="25" s="1"/>
  <c r="AJ51" i="25"/>
  <c r="AM51" i="25"/>
  <c r="CD51" i="25" s="1"/>
  <c r="AJ29" i="25"/>
  <c r="AM29" i="25"/>
  <c r="CD29" i="25" s="1"/>
  <c r="AJ7" i="25"/>
  <c r="AM7" i="25"/>
  <c r="BF7" i="25" s="1"/>
  <c r="AJ184" i="25"/>
  <c r="AM184" i="25"/>
  <c r="BV184" i="25" s="1"/>
  <c r="AJ112" i="25"/>
  <c r="AM112" i="25"/>
  <c r="BV112" i="25" s="1"/>
  <c r="AM158" i="25"/>
  <c r="BV158" i="25" s="1"/>
  <c r="AJ158" i="25"/>
  <c r="AM18" i="25"/>
  <c r="BF18" i="25" s="1"/>
  <c r="AJ18" i="25"/>
  <c r="AM34" i="25"/>
  <c r="BF34" i="25" s="1"/>
  <c r="AJ34" i="25"/>
  <c r="AJ95" i="25"/>
  <c r="AM95" i="25"/>
  <c r="BV95" i="25" s="1"/>
  <c r="AJ276" i="25"/>
  <c r="AM276" i="25"/>
  <c r="CD276" i="25" s="1"/>
  <c r="AJ171" i="25"/>
  <c r="AM171" i="25"/>
  <c r="BV171" i="25" s="1"/>
  <c r="AJ266" i="25"/>
  <c r="AM266" i="25"/>
  <c r="AM200" i="25"/>
  <c r="BV200" i="25" s="1"/>
  <c r="AJ200" i="25"/>
  <c r="AM152" i="25"/>
  <c r="BV152" i="25" s="1"/>
  <c r="AJ152" i="25"/>
  <c r="AJ89" i="25"/>
  <c r="AM89" i="25"/>
  <c r="AJ151" i="25"/>
  <c r="AM151" i="25"/>
  <c r="BV151" i="25" s="1"/>
  <c r="AS16" i="25"/>
  <c r="AX16" i="25" s="1"/>
  <c r="AJ314" i="25"/>
  <c r="AM314" i="25"/>
  <c r="CD314" i="25" s="1"/>
  <c r="AM75" i="25"/>
  <c r="BV75" i="25" s="1"/>
  <c r="AJ75" i="25"/>
  <c r="AJ165" i="25"/>
  <c r="AM165" i="25"/>
  <c r="BV165" i="25" s="1"/>
  <c r="AM150" i="25"/>
  <c r="BV150" i="25" s="1"/>
  <c r="AJ150" i="25"/>
  <c r="AM191" i="25"/>
  <c r="BV191" i="25" s="1"/>
  <c r="AJ191" i="25"/>
  <c r="AM287" i="25"/>
  <c r="CD287" i="25" s="1"/>
  <c r="AJ287" i="25"/>
  <c r="AM291" i="25"/>
  <c r="CD291" i="25" s="1"/>
  <c r="AJ291" i="25"/>
  <c r="AM84" i="25"/>
  <c r="BV84" i="25" s="1"/>
  <c r="AJ84" i="25"/>
  <c r="AM49" i="25"/>
  <c r="CD49" i="25" s="1"/>
  <c r="AJ49" i="25"/>
  <c r="AJ229" i="25"/>
  <c r="AM229" i="25"/>
  <c r="AM160" i="25"/>
  <c r="BV160" i="25" s="1"/>
  <c r="AJ160" i="25"/>
  <c r="AM128" i="25"/>
  <c r="BV128" i="25" s="1"/>
  <c r="AJ128" i="25"/>
  <c r="AJ126" i="25"/>
  <c r="AM126" i="25"/>
  <c r="BV126" i="25" s="1"/>
  <c r="AM241" i="25"/>
  <c r="CD241" i="25" s="1"/>
  <c r="AJ241" i="25"/>
  <c r="AJ28" i="25"/>
  <c r="AM28" i="25"/>
  <c r="BV28" i="25" s="1"/>
  <c r="AM208" i="25"/>
  <c r="BV208" i="25" s="1"/>
  <c r="AJ208" i="25"/>
  <c r="AJ149" i="25"/>
  <c r="AM149" i="25"/>
  <c r="BV149" i="25" s="1"/>
  <c r="AM117" i="25"/>
  <c r="BV117" i="25" s="1"/>
  <c r="AJ117" i="25"/>
  <c r="AS18" i="25"/>
  <c r="AX18" i="25" s="1"/>
  <c r="AJ72" i="25"/>
  <c r="AM72" i="25"/>
  <c r="BV72" i="25" s="1"/>
  <c r="AS34" i="25"/>
  <c r="AX34" i="25" s="1"/>
  <c r="AM71" i="25"/>
  <c r="BV71" i="25" s="1"/>
  <c r="AJ71" i="25"/>
  <c r="AM58" i="25"/>
  <c r="BV58" i="25" s="1"/>
  <c r="AJ58" i="25"/>
  <c r="AJ105" i="25"/>
  <c r="AM105" i="25"/>
  <c r="CD105" i="25" s="1"/>
  <c r="AM97" i="25"/>
  <c r="CD97" i="25" s="1"/>
  <c r="AJ97" i="25"/>
  <c r="AM277" i="25"/>
  <c r="CD277" i="25" s="1"/>
  <c r="AJ277" i="25"/>
  <c r="AJ129" i="25"/>
  <c r="AM129" i="25"/>
  <c r="BV129" i="25" s="1"/>
  <c r="AM92" i="25"/>
  <c r="CD92" i="25" s="1"/>
  <c r="AJ92" i="25"/>
  <c r="AM249" i="25"/>
  <c r="CD249" i="25" s="1"/>
  <c r="AJ249" i="25"/>
  <c r="AM32" i="25"/>
  <c r="BV32" i="25" s="1"/>
  <c r="AJ32" i="25"/>
  <c r="AJ296" i="25"/>
  <c r="AM296" i="25"/>
  <c r="CD296" i="25" s="1"/>
  <c r="AM288" i="25"/>
  <c r="CD288" i="25" s="1"/>
  <c r="AJ288" i="25"/>
  <c r="AJ114" i="25"/>
  <c r="AM114" i="25"/>
  <c r="BV114" i="25" s="1"/>
  <c r="AJ69" i="25"/>
  <c r="AM69" i="25"/>
  <c r="CD69" i="25" s="1"/>
  <c r="AJ188" i="25"/>
  <c r="AM188" i="25"/>
  <c r="BV188" i="25" s="1"/>
  <c r="AJ90" i="25"/>
  <c r="AM90" i="25"/>
  <c r="BV90" i="25" s="1"/>
  <c r="AM9" i="25"/>
  <c r="BV9" i="25" s="1"/>
  <c r="AJ9" i="25"/>
  <c r="AJ234" i="25"/>
  <c r="AM234" i="25"/>
  <c r="CD234" i="25" s="1"/>
  <c r="AJ67" i="25"/>
  <c r="AM67" i="25"/>
  <c r="CD67" i="25" s="1"/>
  <c r="AJ271" i="25"/>
  <c r="AM271" i="25"/>
  <c r="AJ10" i="25"/>
  <c r="AM10" i="25"/>
  <c r="BF10" i="25" s="1"/>
  <c r="AJ279" i="25"/>
  <c r="AM279" i="25"/>
  <c r="CD279" i="25" s="1"/>
  <c r="AJ45" i="25"/>
  <c r="AM45" i="25"/>
  <c r="CD45" i="25" s="1"/>
  <c r="AS66" i="25"/>
  <c r="AX66" i="25" s="1"/>
  <c r="AM303" i="25"/>
  <c r="CD303" i="25" s="1"/>
  <c r="AJ303" i="25"/>
  <c r="AM176" i="25"/>
  <c r="BV176" i="25" s="1"/>
  <c r="AJ176" i="25"/>
  <c r="AJ239" i="25"/>
  <c r="AM239" i="25"/>
  <c r="AJ104" i="25"/>
  <c r="AM104" i="25"/>
  <c r="CD104" i="25" s="1"/>
  <c r="AJ61" i="25"/>
  <c r="AM61" i="25"/>
  <c r="CD61" i="25" s="1"/>
  <c r="AS89" i="25"/>
  <c r="AX89" i="25" s="1"/>
  <c r="AS80" i="25"/>
  <c r="AX80" i="25" s="1"/>
  <c r="AJ258" i="25"/>
  <c r="AM258" i="25"/>
  <c r="CD258" i="25" s="1"/>
  <c r="AM120" i="25"/>
  <c r="BV120" i="25" s="1"/>
  <c r="AJ120" i="25"/>
  <c r="AJ263" i="25"/>
  <c r="AM263" i="25"/>
  <c r="AJ11" i="25"/>
  <c r="AM11" i="25"/>
  <c r="BV11" i="25" s="1"/>
  <c r="AJ115" i="25"/>
  <c r="AM115" i="25"/>
  <c r="BV115" i="25" s="1"/>
  <c r="AS19" i="25"/>
  <c r="AX19" i="25" s="1"/>
  <c r="AJ141" i="25"/>
  <c r="AM141" i="25"/>
  <c r="BV141" i="25" s="1"/>
  <c r="AM168" i="25"/>
  <c r="BV168" i="25" s="1"/>
  <c r="AJ168" i="25"/>
  <c r="AM278" i="25"/>
  <c r="CD278" i="25" s="1"/>
  <c r="AJ278" i="25"/>
  <c r="AJ302" i="25"/>
  <c r="AM302" i="25"/>
  <c r="CD302" i="25" s="1"/>
  <c r="AJ218" i="25"/>
  <c r="AM218" i="25"/>
  <c r="AJ65" i="25"/>
  <c r="AM65" i="25"/>
  <c r="BV65" i="25" s="1"/>
  <c r="AM122" i="25"/>
  <c r="BV122" i="25" s="1"/>
  <c r="AJ122" i="25"/>
  <c r="AJ285" i="25"/>
  <c r="AM285" i="25"/>
  <c r="AM144" i="25"/>
  <c r="BV144" i="25" s="1"/>
  <c r="AJ144" i="25"/>
  <c r="AM221" i="25"/>
  <c r="AJ221" i="25"/>
  <c r="AJ297" i="25"/>
  <c r="AM297" i="25"/>
  <c r="AJ181" i="25"/>
  <c r="AM181" i="25"/>
  <c r="BV181" i="25" s="1"/>
  <c r="AJ240" i="25"/>
  <c r="AM240" i="25"/>
  <c r="CD240" i="25" s="1"/>
  <c r="AM43" i="25"/>
  <c r="BV43" i="25" s="1"/>
  <c r="AJ43" i="25"/>
  <c r="AM101" i="25"/>
  <c r="CD101" i="25" s="1"/>
  <c r="AJ101" i="25"/>
  <c r="AJ223" i="25"/>
  <c r="AM223" i="25"/>
  <c r="AJ100" i="25"/>
  <c r="AM100" i="25"/>
  <c r="CD100" i="25" s="1"/>
  <c r="AS72" i="25"/>
  <c r="AX72" i="25" s="1"/>
  <c r="AJ133" i="25"/>
  <c r="AM133" i="25"/>
  <c r="AJ198" i="25"/>
  <c r="AM198" i="25"/>
  <c r="BV198" i="25" s="1"/>
  <c r="AJ177" i="25"/>
  <c r="AM177" i="25"/>
  <c r="BV177" i="25" s="1"/>
  <c r="AJ227" i="25"/>
  <c r="AM227" i="25"/>
  <c r="CD227" i="25" s="1"/>
  <c r="AM25" i="25"/>
  <c r="BV25" i="25" s="1"/>
  <c r="AJ25" i="25"/>
  <c r="AJ62" i="25"/>
  <c r="AM62" i="25"/>
  <c r="BV62" i="25" s="1"/>
  <c r="AM37" i="25"/>
  <c r="CD37" i="25" s="1"/>
  <c r="AJ37" i="25"/>
  <c r="AM289" i="25"/>
  <c r="CD289" i="25" s="1"/>
  <c r="AJ289" i="25"/>
  <c r="AM261" i="25"/>
  <c r="CD261" i="25" s="1"/>
  <c r="AJ261" i="25"/>
  <c r="AJ185" i="25"/>
  <c r="AM185" i="25"/>
  <c r="BV185" i="25" s="1"/>
  <c r="AJ119" i="25"/>
  <c r="AM119" i="25"/>
  <c r="BV119" i="25" s="1"/>
  <c r="AM24" i="25"/>
  <c r="BV24" i="25" s="1"/>
  <c r="AJ24" i="25"/>
  <c r="AJ161" i="25"/>
  <c r="AM161" i="25"/>
  <c r="BV161" i="25" s="1"/>
  <c r="AJ280" i="25"/>
  <c r="AM280" i="25"/>
  <c r="CD280" i="25" s="1"/>
  <c r="AM268" i="25"/>
  <c r="AJ268" i="25"/>
  <c r="AJ6" i="25"/>
  <c r="AM6" i="25"/>
  <c r="CD6" i="25" s="1"/>
  <c r="AJ308" i="25"/>
  <c r="AM308" i="25"/>
  <c r="CD308" i="25" s="1"/>
  <c r="AJ12" i="25"/>
  <c r="AM12" i="25"/>
  <c r="CD12" i="25" s="1"/>
  <c r="AS50" i="25"/>
  <c r="AX50" i="25" s="1"/>
  <c r="AS65" i="25"/>
  <c r="AX65" i="25" s="1"/>
  <c r="AM253" i="25"/>
  <c r="CD253" i="25" s="1"/>
  <c r="AJ253" i="25"/>
  <c r="AS75" i="25"/>
  <c r="AX75" i="25" s="1"/>
  <c r="AS84" i="25"/>
  <c r="AX84" i="25" s="1"/>
  <c r="AM79" i="25"/>
  <c r="CD79" i="25" s="1"/>
  <c r="AJ79" i="25"/>
  <c r="AM142" i="25"/>
  <c r="BV142" i="25" s="1"/>
  <c r="AJ142" i="25"/>
  <c r="AM13" i="25"/>
  <c r="BV13" i="25" s="1"/>
  <c r="AJ13" i="25"/>
  <c r="AS39" i="25"/>
  <c r="AX39" i="25" s="1"/>
  <c r="AJ148" i="25"/>
  <c r="AM148" i="25"/>
  <c r="BV148" i="25" s="1"/>
  <c r="AM36" i="25"/>
  <c r="CD36" i="25" s="1"/>
  <c r="AJ36" i="25"/>
  <c r="AJ274" i="25"/>
  <c r="AM274" i="25"/>
  <c r="CD274" i="25" s="1"/>
  <c r="AM76" i="25"/>
  <c r="CD76" i="25" s="1"/>
  <c r="AJ76" i="25"/>
  <c r="AJ267" i="25"/>
  <c r="AM267" i="25"/>
  <c r="CD267" i="25" s="1"/>
  <c r="AJ195" i="25"/>
  <c r="AM195" i="25"/>
  <c r="BV195" i="25" s="1"/>
  <c r="AJ202" i="25"/>
  <c r="AM202" i="25"/>
  <c r="BV202" i="25" s="1"/>
  <c r="AM130" i="25"/>
  <c r="BV130" i="25" s="1"/>
  <c r="AJ130" i="25"/>
  <c r="AM52" i="25"/>
  <c r="AJ52" i="25"/>
  <c r="AJ179" i="25"/>
  <c r="AM179" i="25"/>
  <c r="BV179" i="25" s="1"/>
  <c r="AJ145" i="25"/>
  <c r="AM145" i="25"/>
  <c r="BV145" i="25" s="1"/>
  <c r="AM46" i="25"/>
  <c r="BV46" i="25" s="1"/>
  <c r="AJ46" i="25"/>
  <c r="AJ183" i="25"/>
  <c r="AM183" i="25"/>
  <c r="BV183" i="25" s="1"/>
  <c r="AJ47" i="25"/>
  <c r="AM47" i="25"/>
  <c r="CD47" i="25" s="1"/>
  <c r="AM19" i="25"/>
  <c r="BF19" i="25" s="1"/>
  <c r="AJ19" i="25"/>
  <c r="AM23" i="25"/>
  <c r="BT23" i="25" s="1"/>
  <c r="AJ23" i="25"/>
  <c r="AJ197" i="25"/>
  <c r="AM197" i="25"/>
  <c r="BV197" i="25" s="1"/>
  <c r="AJ140" i="25"/>
  <c r="AM140" i="25"/>
  <c r="BV140" i="25" s="1"/>
  <c r="AM154" i="25"/>
  <c r="BV154" i="25" s="1"/>
  <c r="AJ154" i="25"/>
  <c r="AJ281" i="25"/>
  <c r="AM281" i="25"/>
  <c r="CD281" i="25" s="1"/>
  <c r="AM187" i="25"/>
  <c r="BV187" i="25" s="1"/>
  <c r="AJ187" i="25"/>
  <c r="AJ247" i="25"/>
  <c r="AM247" i="25"/>
  <c r="CD247" i="25" s="1"/>
  <c r="AS95" i="25"/>
  <c r="AX95" i="25" s="1"/>
  <c r="AJ169" i="25"/>
  <c r="AM169" i="25"/>
  <c r="BV169" i="25" s="1"/>
  <c r="AM137" i="25"/>
  <c r="BV137" i="25" s="1"/>
  <c r="AJ137" i="25"/>
  <c r="AS99" i="25"/>
  <c r="AX99" i="25" s="1"/>
  <c r="AM60" i="25"/>
  <c r="BV60" i="25" s="1"/>
  <c r="AJ60" i="25"/>
  <c r="AJ220" i="25"/>
  <c r="AM220" i="25"/>
  <c r="AM96" i="25"/>
  <c r="CD96" i="25" s="1"/>
  <c r="AJ96" i="25"/>
  <c r="AJ246" i="25"/>
  <c r="AM246" i="25"/>
  <c r="CD246" i="25" s="1"/>
  <c r="AM54" i="25"/>
  <c r="CD54" i="25" s="1"/>
  <c r="AJ54" i="25"/>
  <c r="AJ83" i="25"/>
  <c r="AM83" i="25"/>
  <c r="CD83" i="25" s="1"/>
  <c r="AJ307" i="25"/>
  <c r="AM307" i="25"/>
  <c r="CD307" i="25" s="1"/>
  <c r="AJ236" i="25"/>
  <c r="AM236" i="25"/>
  <c r="CD236" i="25" s="1"/>
  <c r="AM192" i="25"/>
  <c r="BV192" i="25" s="1"/>
  <c r="AJ192" i="25"/>
  <c r="AJ305" i="25"/>
  <c r="AM305" i="25"/>
  <c r="CD305" i="25" s="1"/>
  <c r="AM203" i="25"/>
  <c r="BV203" i="25" s="1"/>
  <c r="AJ203" i="25"/>
  <c r="AJ284" i="25"/>
  <c r="AM284" i="25"/>
  <c r="CD284" i="25" s="1"/>
  <c r="AJ256" i="25"/>
  <c r="AM256" i="25"/>
  <c r="CD256" i="25" s="1"/>
  <c r="AJ125" i="25"/>
  <c r="AM125" i="25"/>
  <c r="BV125" i="25" s="1"/>
  <c r="AJ21" i="25"/>
  <c r="AM21" i="25"/>
  <c r="CD21" i="25" s="1"/>
  <c r="AJ306" i="25"/>
  <c r="AM306" i="25"/>
  <c r="CD306" i="25" s="1"/>
  <c r="AJ40" i="25"/>
  <c r="AM40" i="25"/>
  <c r="AM283" i="25"/>
  <c r="CD283" i="25" s="1"/>
  <c r="AJ283" i="25"/>
  <c r="AS74" i="25"/>
  <c r="AX74" i="25" s="1"/>
  <c r="AJ167" i="25"/>
  <c r="AM167" i="25"/>
  <c r="BV167" i="25" s="1"/>
  <c r="AM86" i="25"/>
  <c r="CD86" i="25" s="1"/>
  <c r="AJ86" i="25"/>
  <c r="AJ316" i="25"/>
  <c r="AM316" i="25"/>
  <c r="AM8" i="25"/>
  <c r="BV8" i="25" s="1"/>
  <c r="AJ8" i="25"/>
  <c r="AM201" i="25"/>
  <c r="BV201" i="25" s="1"/>
  <c r="AJ201" i="25"/>
  <c r="AJ235" i="25"/>
  <c r="AM235" i="25"/>
  <c r="AM118" i="25"/>
  <c r="BV118" i="25" s="1"/>
  <c r="AJ118" i="25"/>
  <c r="AM207" i="25"/>
  <c r="BV207" i="25" s="1"/>
  <c r="AJ207" i="25"/>
  <c r="AJ226" i="25"/>
  <c r="AM226" i="25"/>
  <c r="AJ48" i="25"/>
  <c r="AM48" i="25"/>
  <c r="CD48" i="25" s="1"/>
  <c r="AJ209" i="25"/>
  <c r="AM209" i="25"/>
  <c r="BV209" i="25" s="1"/>
  <c r="AJ243" i="25"/>
  <c r="AM243" i="25"/>
  <c r="CD243" i="25" s="1"/>
  <c r="AM230" i="25"/>
  <c r="CD230" i="25" s="1"/>
  <c r="AJ230" i="25"/>
  <c r="AM88" i="25"/>
  <c r="BV88" i="25" s="1"/>
  <c r="AJ88" i="25"/>
  <c r="AM199" i="25"/>
  <c r="BV199" i="25" s="1"/>
  <c r="AJ199" i="25"/>
  <c r="AM30" i="25"/>
  <c r="BV30" i="25" s="1"/>
  <c r="AJ30" i="25"/>
  <c r="AJ248" i="25"/>
  <c r="AM248" i="25"/>
  <c r="CD248" i="25" s="1"/>
  <c r="AM68" i="25"/>
  <c r="AJ68" i="25"/>
  <c r="AM82" i="25"/>
  <c r="CD82" i="25" s="1"/>
  <c r="AJ82" i="25"/>
  <c r="AM73" i="25"/>
  <c r="CD73" i="25" s="1"/>
  <c r="AJ73" i="25"/>
  <c r="AM190" i="25"/>
  <c r="BV190" i="25" s="1"/>
  <c r="AJ190" i="25"/>
  <c r="AJ238" i="25"/>
  <c r="AM238" i="25"/>
  <c r="CD238" i="25" s="1"/>
  <c r="AJ172" i="25"/>
  <c r="AM172" i="25"/>
  <c r="BV172" i="25" s="1"/>
  <c r="AM298" i="25"/>
  <c r="CD298" i="25" s="1"/>
  <c r="AJ298" i="25"/>
  <c r="AJ163" i="25"/>
  <c r="AM163" i="25"/>
  <c r="BV163" i="25" s="1"/>
  <c r="AM255" i="25"/>
  <c r="CD255" i="25" s="1"/>
  <c r="AJ255" i="25"/>
  <c r="AM134" i="25"/>
  <c r="BV134" i="25" s="1"/>
  <c r="AJ134" i="25"/>
  <c r="AJ299" i="25"/>
  <c r="AM299" i="25"/>
  <c r="CD299" i="25" s="1"/>
  <c r="AJ175" i="25"/>
  <c r="AM175" i="25"/>
  <c r="BV175" i="25" s="1"/>
  <c r="AM225" i="25"/>
  <c r="AJ225" i="25"/>
  <c r="AM237" i="25"/>
  <c r="AJ237" i="25"/>
  <c r="AJ205" i="25"/>
  <c r="AM205" i="25"/>
  <c r="BV205" i="25" s="1"/>
  <c r="AM147" i="25"/>
  <c r="BV147" i="25" s="1"/>
  <c r="AJ147" i="25"/>
  <c r="AS55" i="25"/>
  <c r="AX55" i="25" s="1"/>
  <c r="AS32" i="25"/>
  <c r="AX32" i="25" s="1"/>
  <c r="AJ262" i="25"/>
  <c r="AM262" i="25"/>
  <c r="AS7" i="25"/>
  <c r="AX7" i="25" s="1"/>
  <c r="AM146" i="25"/>
  <c r="BV146" i="25" s="1"/>
  <c r="AJ146" i="25"/>
  <c r="AM77" i="25"/>
  <c r="BF77" i="25" s="1"/>
  <c r="AJ77" i="25"/>
  <c r="AM63" i="25"/>
  <c r="AJ63" i="25"/>
  <c r="AJ27" i="25"/>
  <c r="AM27" i="25"/>
  <c r="BV27" i="25" s="1"/>
  <c r="AJ80" i="25"/>
  <c r="AM80" i="25"/>
  <c r="BV80" i="25" s="1"/>
  <c r="AM301" i="25"/>
  <c r="CD301" i="25" s="1"/>
  <c r="AJ301" i="25"/>
  <c r="AJ231" i="25"/>
  <c r="AM231" i="25"/>
  <c r="AM50" i="25"/>
  <c r="BV50" i="25" s="1"/>
  <c r="AJ50" i="25"/>
  <c r="AJ304" i="25"/>
  <c r="AM304" i="25"/>
  <c r="CD304" i="25" s="1"/>
  <c r="AM33" i="25"/>
  <c r="BV33" i="25" s="1"/>
  <c r="AJ33" i="25"/>
  <c r="AM124" i="25"/>
  <c r="BV124" i="25" s="1"/>
  <c r="AJ124" i="25"/>
  <c r="AM300" i="25"/>
  <c r="CD300" i="25" s="1"/>
  <c r="AJ300" i="25"/>
  <c r="AM232" i="25"/>
  <c r="AJ232" i="25"/>
  <c r="AM123" i="25"/>
  <c r="BV123" i="25" s="1"/>
  <c r="AJ123" i="25"/>
  <c r="AJ164" i="25"/>
  <c r="AM164" i="25"/>
  <c r="BV164" i="25" s="1"/>
  <c r="AM219" i="25"/>
  <c r="AJ219" i="25"/>
  <c r="AJ91" i="25"/>
  <c r="AM91" i="25"/>
  <c r="AJ312" i="25"/>
  <c r="AM312" i="25"/>
  <c r="CD312" i="25" s="1"/>
  <c r="AJ193" i="25"/>
  <c r="AM193" i="25"/>
  <c r="BV193" i="25" s="1"/>
  <c r="AS85" i="25"/>
  <c r="AX85" i="25" s="1"/>
  <c r="AS77" i="25"/>
  <c r="AX77" i="25" s="1"/>
  <c r="AJ206" i="25"/>
  <c r="AM206" i="25"/>
  <c r="BV206" i="25" s="1"/>
  <c r="AM294" i="25"/>
  <c r="CD294" i="25" s="1"/>
  <c r="AJ294" i="25"/>
  <c r="AM292" i="25"/>
  <c r="CD292" i="25" s="1"/>
  <c r="AJ292" i="25"/>
  <c r="AM42" i="25"/>
  <c r="CD42" i="25" s="1"/>
  <c r="AJ42" i="25"/>
  <c r="AJ44" i="25"/>
  <c r="AM44" i="25"/>
  <c r="CD44" i="25" s="1"/>
  <c r="AM94" i="25"/>
  <c r="CD94" i="25" s="1"/>
  <c r="AJ94" i="25"/>
  <c r="AM315" i="25"/>
  <c r="AJ315" i="25"/>
  <c r="AJ111" i="25"/>
  <c r="AM111" i="25"/>
  <c r="BV111" i="25" s="1"/>
  <c r="AM204" i="25"/>
  <c r="BV204" i="25" s="1"/>
  <c r="AJ204" i="25"/>
  <c r="AJ132" i="25"/>
  <c r="AM132" i="25"/>
  <c r="BV132" i="25" s="1"/>
  <c r="AK74" i="24"/>
  <c r="AK83" i="24"/>
  <c r="AT10" i="24"/>
  <c r="BA10" i="24" s="1"/>
  <c r="AT36" i="24"/>
  <c r="BA36" i="24" s="1"/>
  <c r="AT78" i="24"/>
  <c r="BA78" i="24" s="1"/>
  <c r="AT95" i="24"/>
  <c r="BA95" i="24" s="1"/>
  <c r="AT104" i="24"/>
  <c r="BA104" i="24" s="1"/>
  <c r="AT27" i="24"/>
  <c r="BA27" i="24" s="1"/>
  <c r="AK292" i="24"/>
  <c r="AK315" i="24"/>
  <c r="AK245" i="24"/>
  <c r="AK304" i="24"/>
  <c r="AK180" i="24"/>
  <c r="AN180" i="24"/>
  <c r="AK197" i="24"/>
  <c r="AN197" i="24"/>
  <c r="BH197" i="24" s="1"/>
  <c r="AN175" i="24"/>
  <c r="CD175" i="24" s="1"/>
  <c r="AK175" i="24"/>
  <c r="AK178" i="24"/>
  <c r="AN178" i="24"/>
  <c r="AK127" i="24"/>
  <c r="AN127" i="24"/>
  <c r="BT127" i="24" s="1"/>
  <c r="AK200" i="24"/>
  <c r="AN200" i="24"/>
  <c r="AK124" i="24"/>
  <c r="AN124" i="24"/>
  <c r="AK138" i="24"/>
  <c r="AN138" i="24"/>
  <c r="AK129" i="24"/>
  <c r="AN129" i="24"/>
  <c r="AN135" i="24"/>
  <c r="CD135" i="24" s="1"/>
  <c r="AK135" i="24"/>
  <c r="AK173" i="24"/>
  <c r="AN173" i="24"/>
  <c r="AK118" i="24"/>
  <c r="AN118" i="24"/>
  <c r="AN164" i="24"/>
  <c r="AK164" i="24"/>
  <c r="AK121" i="24"/>
  <c r="AN121" i="24"/>
  <c r="BT121" i="24" s="1"/>
  <c r="AK202" i="24"/>
  <c r="AN202" i="24"/>
  <c r="AN300" i="24"/>
  <c r="AN111" i="24"/>
  <c r="AX111" i="24" s="1"/>
  <c r="AK111" i="24"/>
  <c r="AK160" i="24"/>
  <c r="AN160" i="24"/>
  <c r="AN126" i="24"/>
  <c r="AK126" i="24"/>
  <c r="AN140" i="24"/>
  <c r="AK140" i="24"/>
  <c r="AN292" i="24"/>
  <c r="AK316" i="24"/>
  <c r="AK230" i="24"/>
  <c r="AN316" i="24"/>
  <c r="CD316" i="24" s="1"/>
  <c r="AN245" i="24"/>
  <c r="CD245" i="24" s="1"/>
  <c r="AN315" i="24"/>
  <c r="CD315" i="24" s="1"/>
  <c r="AN222" i="24"/>
  <c r="AK222" i="24"/>
  <c r="AK224" i="24"/>
  <c r="AN224" i="24"/>
  <c r="AN216" i="24"/>
  <c r="AK216" i="24"/>
  <c r="AN247" i="24"/>
  <c r="AK247" i="24"/>
  <c r="AK264" i="24"/>
  <c r="AN264" i="24"/>
  <c r="AK285" i="24"/>
  <c r="AN285" i="24"/>
  <c r="CD285" i="24" s="1"/>
  <c r="AK221" i="24"/>
  <c r="AN221" i="24"/>
  <c r="AK250" i="24"/>
  <c r="AN250" i="24"/>
  <c r="CD250" i="24" s="1"/>
  <c r="AK307" i="24"/>
  <c r="AN307" i="24"/>
  <c r="CD307" i="24" s="1"/>
  <c r="AK235" i="24"/>
  <c r="AN235" i="24"/>
  <c r="AN223" i="24"/>
  <c r="AK223" i="24"/>
  <c r="AN302" i="24"/>
  <c r="CD302" i="24" s="1"/>
  <c r="AK302" i="24"/>
  <c r="AK266" i="24"/>
  <c r="AN266" i="24"/>
  <c r="AN274" i="24"/>
  <c r="CD274" i="24" s="1"/>
  <c r="AK274" i="24"/>
  <c r="AK275" i="24"/>
  <c r="AN275" i="24"/>
  <c r="CD275" i="24" s="1"/>
  <c r="AN297" i="24"/>
  <c r="AK297" i="24"/>
  <c r="AN279" i="24"/>
  <c r="CD279" i="24" s="1"/>
  <c r="AK279" i="24"/>
  <c r="AN259" i="24"/>
  <c r="CD259" i="24" s="1"/>
  <c r="AK259" i="24"/>
  <c r="AK236" i="24"/>
  <c r="AN236" i="24"/>
  <c r="CD236" i="24" s="1"/>
  <c r="AN288" i="24"/>
  <c r="AK288" i="24"/>
  <c r="AK256" i="24"/>
  <c r="AN256" i="24"/>
  <c r="CD256" i="24" s="1"/>
  <c r="AK258" i="24"/>
  <c r="AN258" i="24"/>
  <c r="AK233" i="24"/>
  <c r="AN233" i="24"/>
  <c r="CD233" i="24" s="1"/>
  <c r="AN314" i="24"/>
  <c r="CD314" i="24" s="1"/>
  <c r="AK273" i="24"/>
  <c r="AN273" i="24"/>
  <c r="CD273" i="24" s="1"/>
  <c r="AN243" i="24"/>
  <c r="AK243" i="24"/>
  <c r="AN220" i="24"/>
  <c r="AK220" i="24"/>
  <c r="AN228" i="24"/>
  <c r="AK228" i="24"/>
  <c r="AK229" i="24"/>
  <c r="AN229" i="24"/>
  <c r="AK310" i="24"/>
  <c r="AN310" i="24"/>
  <c r="AN287" i="24"/>
  <c r="CD287" i="24" s="1"/>
  <c r="AK287" i="24"/>
  <c r="AN218" i="24"/>
  <c r="AK218" i="24"/>
  <c r="AK294" i="24"/>
  <c r="AN294" i="24"/>
  <c r="CD294" i="24" s="1"/>
  <c r="AK271" i="24"/>
  <c r="AN271" i="24"/>
  <c r="AK227" i="24"/>
  <c r="AN227" i="24"/>
  <c r="CD227" i="24" s="1"/>
  <c r="AN251" i="24"/>
  <c r="CD251" i="24" s="1"/>
  <c r="AK251" i="24"/>
  <c r="AN293" i="24"/>
  <c r="CD293" i="24" s="1"/>
  <c r="AK293" i="24"/>
  <c r="AK241" i="24"/>
  <c r="AN241" i="24"/>
  <c r="AK219" i="24"/>
  <c r="AN219" i="24"/>
  <c r="CD219" i="24" s="1"/>
  <c r="AK234" i="24"/>
  <c r="AN234" i="24"/>
  <c r="CD234" i="24" s="1"/>
  <c r="AK254" i="24"/>
  <c r="AN254" i="24"/>
  <c r="AN286" i="24"/>
  <c r="CD286" i="24" s="1"/>
  <c r="AK286" i="24"/>
  <c r="AK300" i="24"/>
  <c r="AK309" i="24"/>
  <c r="AN309" i="24"/>
  <c r="CD309" i="24" s="1"/>
  <c r="AK303" i="24"/>
  <c r="AN303" i="24"/>
  <c r="CD303" i="24" s="1"/>
  <c r="AN301" i="24"/>
  <c r="AK301" i="24"/>
  <c r="AN268" i="24"/>
  <c r="CD268" i="24" s="1"/>
  <c r="AK268" i="24"/>
  <c r="AK239" i="24"/>
  <c r="AN239" i="24"/>
  <c r="AK240" i="24"/>
  <c r="AN240" i="24"/>
  <c r="CD240" i="24" s="1"/>
  <c r="AN304" i="24"/>
  <c r="CD304" i="24" s="1"/>
  <c r="AK314" i="24"/>
  <c r="AN272" i="24"/>
  <c r="AK272" i="24"/>
  <c r="AN230" i="24"/>
  <c r="CD230" i="24" s="1"/>
  <c r="BQ106" i="19"/>
  <c r="BV133" i="25" l="1"/>
  <c r="CD133" i="25"/>
  <c r="BV35" i="25"/>
  <c r="CD35" i="25"/>
  <c r="BV143" i="24"/>
  <c r="CD143" i="24"/>
  <c r="BV158" i="24"/>
  <c r="CD158" i="24"/>
  <c r="AK306" i="24"/>
  <c r="BV91" i="25"/>
  <c r="CD91" i="25"/>
  <c r="BV162" i="25"/>
  <c r="CD162" i="25"/>
  <c r="BV56" i="25"/>
  <c r="CD56" i="25"/>
  <c r="BV68" i="25"/>
  <c r="CD68" i="25"/>
  <c r="AW144" i="25"/>
  <c r="AX191" i="25"/>
  <c r="BV31" i="25"/>
  <c r="CD31" i="25"/>
  <c r="BV52" i="25"/>
  <c r="CD52" i="25"/>
  <c r="BV40" i="25"/>
  <c r="CD40" i="25"/>
  <c r="BV63" i="25"/>
  <c r="CD63" i="25"/>
  <c r="AX181" i="25"/>
  <c r="AW114" i="25"/>
  <c r="AX184" i="25"/>
  <c r="AW127" i="25"/>
  <c r="AX135" i="25"/>
  <c r="AX146" i="25"/>
  <c r="AW118" i="25"/>
  <c r="BT89" i="25"/>
  <c r="CD89" i="25"/>
  <c r="AW160" i="25"/>
  <c r="AW134" i="25"/>
  <c r="AW138" i="25"/>
  <c r="AW172" i="25"/>
  <c r="AX112" i="25"/>
  <c r="AW143" i="25"/>
  <c r="AW115" i="25"/>
  <c r="AW145" i="25"/>
  <c r="AW186" i="25"/>
  <c r="BV135" i="25"/>
  <c r="CD135" i="25"/>
  <c r="AX164" i="25"/>
  <c r="AW116" i="25"/>
  <c r="AX190" i="25"/>
  <c r="AW157" i="25"/>
  <c r="AX168" i="25"/>
  <c r="AW177" i="25"/>
  <c r="AX129" i="25"/>
  <c r="AX179" i="25"/>
  <c r="AW165" i="25"/>
  <c r="AW173" i="25"/>
  <c r="AX207" i="25"/>
  <c r="AW167" i="25"/>
  <c r="AW155" i="25"/>
  <c r="AW141" i="25"/>
  <c r="AX148" i="25"/>
  <c r="AX205" i="25"/>
  <c r="AX178" i="25"/>
  <c r="AX208" i="25"/>
  <c r="AW110" i="25"/>
  <c r="AW147" i="25"/>
  <c r="AW111" i="25"/>
  <c r="AW152" i="25"/>
  <c r="AX121" i="25"/>
  <c r="AW192" i="25"/>
  <c r="AX153" i="25"/>
  <c r="AW174" i="25"/>
  <c r="AW188" i="25"/>
  <c r="AX166" i="25"/>
  <c r="AX131" i="25"/>
  <c r="AW203" i="25"/>
  <c r="AX201" i="25"/>
  <c r="AW113" i="25"/>
  <c r="AX185" i="25"/>
  <c r="BV100" i="25"/>
  <c r="AW139" i="25"/>
  <c r="AW196" i="25"/>
  <c r="AX123" i="25"/>
  <c r="BV79" i="25"/>
  <c r="BV34" i="25"/>
  <c r="BV64" i="25"/>
  <c r="BV104" i="25"/>
  <c r="BV20" i="25"/>
  <c r="AX206" i="25"/>
  <c r="AW209" i="25"/>
  <c r="AX198" i="25"/>
  <c r="BV51" i="25"/>
  <c r="BV7" i="25"/>
  <c r="AW204" i="25"/>
  <c r="AX120" i="25"/>
  <c r="AW194" i="25"/>
  <c r="BV48" i="25"/>
  <c r="AW133" i="25"/>
  <c r="AW158" i="25"/>
  <c r="AW140" i="25"/>
  <c r="AW117" i="25"/>
  <c r="AW193" i="25"/>
  <c r="AW142" i="25"/>
  <c r="AW171" i="25"/>
  <c r="AW136" i="25"/>
  <c r="AW187" i="25"/>
  <c r="AX156" i="25"/>
  <c r="AX169" i="25"/>
  <c r="AX163" i="25"/>
  <c r="BV70" i="25"/>
  <c r="BV83" i="25"/>
  <c r="BV105" i="25"/>
  <c r="BV87" i="25"/>
  <c r="AW151" i="25"/>
  <c r="BV53" i="25"/>
  <c r="AW175" i="25"/>
  <c r="AW150" i="25"/>
  <c r="BV94" i="25"/>
  <c r="BV96" i="25"/>
  <c r="BV54" i="25"/>
  <c r="BV26" i="25"/>
  <c r="BV67" i="25"/>
  <c r="BV10" i="25"/>
  <c r="BV14" i="25"/>
  <c r="BV17" i="25"/>
  <c r="BV57" i="25"/>
  <c r="AW159" i="25"/>
  <c r="AW119" i="25"/>
  <c r="AW200" i="25"/>
  <c r="AW180" i="25"/>
  <c r="AW154" i="25"/>
  <c r="AW182" i="25"/>
  <c r="AW183" i="25"/>
  <c r="AW130" i="25"/>
  <c r="AW199" i="25"/>
  <c r="AW125" i="25"/>
  <c r="AW197" i="25"/>
  <c r="AW195" i="25"/>
  <c r="AW176" i="25"/>
  <c r="AW126" i="25"/>
  <c r="AW189" i="25"/>
  <c r="AW170" i="25"/>
  <c r="AW122" i="25"/>
  <c r="AW210" i="25"/>
  <c r="AW162" i="25"/>
  <c r="AW128" i="25"/>
  <c r="AW149" i="25"/>
  <c r="AW161" i="25"/>
  <c r="AW132" i="25"/>
  <c r="AW124" i="25"/>
  <c r="AW137" i="25"/>
  <c r="BV101" i="25"/>
  <c r="BV21" i="25"/>
  <c r="BV92" i="25"/>
  <c r="BV49" i="25"/>
  <c r="BV45" i="25"/>
  <c r="BV93" i="25"/>
  <c r="BV19" i="25"/>
  <c r="BV85" i="25"/>
  <c r="BV103" i="25"/>
  <c r="BV102" i="25"/>
  <c r="BV38" i="25"/>
  <c r="BV77" i="25"/>
  <c r="BV61" i="25"/>
  <c r="BV47" i="25"/>
  <c r="BV29" i="25"/>
  <c r="BV89" i="25"/>
  <c r="BV37" i="25"/>
  <c r="BV78" i="25"/>
  <c r="BV42" i="25"/>
  <c r="BV76" i="25"/>
  <c r="BV6" i="25"/>
  <c r="BV18" i="25"/>
  <c r="BV99" i="25"/>
  <c r="BV86" i="25"/>
  <c r="BV44" i="25"/>
  <c r="BV97" i="25"/>
  <c r="BV12" i="25"/>
  <c r="BV81" i="25"/>
  <c r="BV173" i="25"/>
  <c r="BV73" i="25"/>
  <c r="BV36" i="25"/>
  <c r="BV16" i="25"/>
  <c r="BV23" i="25"/>
  <c r="BV69" i="25"/>
  <c r="BV59" i="25"/>
  <c r="BV82" i="25"/>
  <c r="BV66" i="25"/>
  <c r="BV151" i="24"/>
  <c r="CD206" i="25"/>
  <c r="BF206" i="25"/>
  <c r="BT206" i="25"/>
  <c r="BG206" i="25"/>
  <c r="BH206" i="25"/>
  <c r="CD193" i="25"/>
  <c r="BG193" i="25"/>
  <c r="BH193" i="25"/>
  <c r="BF193" i="25"/>
  <c r="BT193" i="25"/>
  <c r="CD164" i="25"/>
  <c r="BH164" i="25"/>
  <c r="BG164" i="25"/>
  <c r="BT164" i="25"/>
  <c r="BF164" i="25"/>
  <c r="CD147" i="25"/>
  <c r="BF147" i="25"/>
  <c r="BG147" i="25"/>
  <c r="BT147" i="25"/>
  <c r="BH147" i="25"/>
  <c r="CD134" i="25"/>
  <c r="BG134" i="25"/>
  <c r="BT134" i="25"/>
  <c r="BH134" i="25"/>
  <c r="BF134" i="25"/>
  <c r="CD190" i="25"/>
  <c r="BF190" i="25"/>
  <c r="BT190" i="25"/>
  <c r="BG190" i="25"/>
  <c r="BH190" i="25"/>
  <c r="CD199" i="25"/>
  <c r="BF199" i="25"/>
  <c r="BG199" i="25"/>
  <c r="BT199" i="25"/>
  <c r="BH199" i="25"/>
  <c r="BF118" i="25"/>
  <c r="BT118" i="25"/>
  <c r="BG118" i="25"/>
  <c r="BH118" i="25"/>
  <c r="CD201" i="25"/>
  <c r="BT201" i="25"/>
  <c r="BF201" i="25"/>
  <c r="BG201" i="25"/>
  <c r="BH201" i="25"/>
  <c r="BG137" i="25"/>
  <c r="BT137" i="25"/>
  <c r="BF137" i="25"/>
  <c r="BH137" i="25"/>
  <c r="CD140" i="25"/>
  <c r="BG140" i="25"/>
  <c r="BT140" i="25"/>
  <c r="BH140" i="25"/>
  <c r="BF140" i="25"/>
  <c r="CD179" i="25"/>
  <c r="BF179" i="25"/>
  <c r="BT179" i="25"/>
  <c r="BG179" i="25"/>
  <c r="BH179" i="25"/>
  <c r="CD195" i="25"/>
  <c r="BH195" i="25"/>
  <c r="BF195" i="25"/>
  <c r="BG195" i="25"/>
  <c r="BT195" i="25"/>
  <c r="CD142" i="25"/>
  <c r="BF142" i="25"/>
  <c r="BT142" i="25"/>
  <c r="BG142" i="25"/>
  <c r="BH142" i="25"/>
  <c r="CD181" i="25"/>
  <c r="BG181" i="25"/>
  <c r="BT181" i="25"/>
  <c r="BH181" i="25"/>
  <c r="BF181" i="25"/>
  <c r="BF120" i="25"/>
  <c r="BH120" i="25"/>
  <c r="BG120" i="25"/>
  <c r="BT120" i="25"/>
  <c r="CD176" i="25"/>
  <c r="BG176" i="25"/>
  <c r="BH176" i="25"/>
  <c r="BF176" i="25"/>
  <c r="BT176" i="25"/>
  <c r="CD188" i="25"/>
  <c r="BF188" i="25"/>
  <c r="BH188" i="25"/>
  <c r="BG188" i="25"/>
  <c r="BT188" i="25"/>
  <c r="BF114" i="25"/>
  <c r="BT114" i="25"/>
  <c r="BH114" i="25"/>
  <c r="BG114" i="25"/>
  <c r="CD129" i="25"/>
  <c r="BH129" i="25"/>
  <c r="BG129" i="25"/>
  <c r="BT129" i="25"/>
  <c r="BF129" i="25"/>
  <c r="CD200" i="25"/>
  <c r="BF200" i="25"/>
  <c r="BH200" i="25"/>
  <c r="BG200" i="25"/>
  <c r="BT200" i="25"/>
  <c r="CD166" i="25"/>
  <c r="BH166" i="25"/>
  <c r="BT166" i="25"/>
  <c r="BF166" i="25"/>
  <c r="BG166" i="25"/>
  <c r="CD196" i="25"/>
  <c r="BH196" i="25"/>
  <c r="BF196" i="25"/>
  <c r="BG196" i="25"/>
  <c r="BT196" i="25"/>
  <c r="CD170" i="25"/>
  <c r="BG170" i="25"/>
  <c r="BT170" i="25"/>
  <c r="BH170" i="25"/>
  <c r="BF170" i="25"/>
  <c r="BG131" i="25"/>
  <c r="BH131" i="25"/>
  <c r="BF131" i="25"/>
  <c r="BT131" i="25"/>
  <c r="CD139" i="25"/>
  <c r="BT139" i="25"/>
  <c r="BF139" i="25"/>
  <c r="BG139" i="25"/>
  <c r="BH139" i="25"/>
  <c r="CD180" i="25"/>
  <c r="BG180" i="25"/>
  <c r="BH180" i="25"/>
  <c r="BT180" i="25"/>
  <c r="BF180" i="25"/>
  <c r="BH113" i="25"/>
  <c r="BG113" i="25"/>
  <c r="BT113" i="25"/>
  <c r="BF113" i="25"/>
  <c r="CD116" i="25"/>
  <c r="BH116" i="25"/>
  <c r="BF116" i="25"/>
  <c r="BT116" i="25"/>
  <c r="BG116" i="25"/>
  <c r="CD156" i="25"/>
  <c r="BH156" i="25"/>
  <c r="BG156" i="25"/>
  <c r="BT156" i="25"/>
  <c r="BF156" i="25"/>
  <c r="CD204" i="25"/>
  <c r="BF204" i="25"/>
  <c r="BG204" i="25"/>
  <c r="BT204" i="25"/>
  <c r="BH204" i="25"/>
  <c r="BG124" i="25"/>
  <c r="BT124" i="25"/>
  <c r="BH124" i="25"/>
  <c r="BF124" i="25"/>
  <c r="CD146" i="25"/>
  <c r="BF146" i="25"/>
  <c r="BG146" i="25"/>
  <c r="BH146" i="25"/>
  <c r="BT146" i="25"/>
  <c r="CD205" i="25"/>
  <c r="BF205" i="25"/>
  <c r="BG205" i="25"/>
  <c r="BT205" i="25"/>
  <c r="BH205" i="25"/>
  <c r="CD203" i="25"/>
  <c r="BF203" i="25"/>
  <c r="BT203" i="25"/>
  <c r="BG203" i="25"/>
  <c r="BH203" i="25"/>
  <c r="CD192" i="25"/>
  <c r="BF192" i="25"/>
  <c r="BG192" i="25"/>
  <c r="BT192" i="25"/>
  <c r="BH192" i="25"/>
  <c r="CD169" i="25"/>
  <c r="BG169" i="25"/>
  <c r="BH169" i="25"/>
  <c r="BF169" i="25"/>
  <c r="BT169" i="25"/>
  <c r="CD130" i="25"/>
  <c r="BF130" i="25"/>
  <c r="BG130" i="25"/>
  <c r="BT130" i="25"/>
  <c r="BH130" i="25"/>
  <c r="CD185" i="25"/>
  <c r="BH185" i="25"/>
  <c r="BF185" i="25"/>
  <c r="BG185" i="25"/>
  <c r="BT185" i="25"/>
  <c r="CD198" i="25"/>
  <c r="BF198" i="25"/>
  <c r="BG198" i="25"/>
  <c r="BT198" i="25"/>
  <c r="BH198" i="25"/>
  <c r="CD168" i="25"/>
  <c r="BF168" i="25"/>
  <c r="BG168" i="25"/>
  <c r="BH168" i="25"/>
  <c r="BT168" i="25"/>
  <c r="CD115" i="25"/>
  <c r="BF115" i="25"/>
  <c r="BG115" i="25"/>
  <c r="BT115" i="25"/>
  <c r="BH115" i="25"/>
  <c r="BF117" i="25"/>
  <c r="BG117" i="25"/>
  <c r="BH117" i="25"/>
  <c r="BT117" i="25"/>
  <c r="CD208" i="25"/>
  <c r="BG208" i="25"/>
  <c r="BF208" i="25"/>
  <c r="BH208" i="25"/>
  <c r="BT208" i="25"/>
  <c r="CD128" i="25"/>
  <c r="BH128" i="25"/>
  <c r="BF128" i="25"/>
  <c r="BT128" i="25"/>
  <c r="BG128" i="25"/>
  <c r="CD150" i="25"/>
  <c r="BG150" i="25"/>
  <c r="BH150" i="25"/>
  <c r="BT150" i="25"/>
  <c r="BF150" i="25"/>
  <c r="CD151" i="25"/>
  <c r="BF151" i="25"/>
  <c r="BT151" i="25"/>
  <c r="BG151" i="25"/>
  <c r="BH151" i="25"/>
  <c r="CD184" i="25"/>
  <c r="BH184" i="25"/>
  <c r="BT184" i="25"/>
  <c r="BG184" i="25"/>
  <c r="BF184" i="25"/>
  <c r="CD186" i="25"/>
  <c r="BH186" i="25"/>
  <c r="BT186" i="25"/>
  <c r="BF186" i="25"/>
  <c r="BG186" i="25"/>
  <c r="CD194" i="25"/>
  <c r="BH194" i="25"/>
  <c r="BT194" i="25"/>
  <c r="BF194" i="25"/>
  <c r="BG194" i="25"/>
  <c r="CD210" i="25"/>
  <c r="BF210" i="25"/>
  <c r="BT210" i="25"/>
  <c r="BG210" i="25"/>
  <c r="BH210" i="25"/>
  <c r="CD157" i="25"/>
  <c r="BF157" i="25"/>
  <c r="BG157" i="25"/>
  <c r="BH157" i="25"/>
  <c r="BT157" i="25"/>
  <c r="CD174" i="25"/>
  <c r="BF174" i="25"/>
  <c r="BH174" i="25"/>
  <c r="BG174" i="25"/>
  <c r="BT174" i="25"/>
  <c r="CD132" i="25"/>
  <c r="BF132" i="25"/>
  <c r="BG132" i="25"/>
  <c r="BH132" i="25"/>
  <c r="BT132" i="25"/>
  <c r="CD111" i="25"/>
  <c r="BF111" i="25"/>
  <c r="BT111" i="25"/>
  <c r="BG111" i="25"/>
  <c r="BH111" i="25"/>
  <c r="CD207" i="25"/>
  <c r="BF207" i="25"/>
  <c r="BH207" i="25"/>
  <c r="BT207" i="25"/>
  <c r="BG207" i="25"/>
  <c r="CD125" i="25"/>
  <c r="BH125" i="25"/>
  <c r="BG125" i="25"/>
  <c r="BT125" i="25"/>
  <c r="BF125" i="25"/>
  <c r="CD197" i="25"/>
  <c r="BH197" i="25"/>
  <c r="BT197" i="25"/>
  <c r="BG197" i="25"/>
  <c r="BF197" i="25"/>
  <c r="CD183" i="25"/>
  <c r="BG183" i="25"/>
  <c r="BH183" i="25"/>
  <c r="BF183" i="25"/>
  <c r="BT183" i="25"/>
  <c r="CD145" i="25"/>
  <c r="BH145" i="25"/>
  <c r="BF145" i="25"/>
  <c r="BG145" i="25"/>
  <c r="BT145" i="25"/>
  <c r="CD202" i="25"/>
  <c r="BF202" i="25"/>
  <c r="BG202" i="25"/>
  <c r="BT202" i="25"/>
  <c r="BH202" i="25"/>
  <c r="CD148" i="25"/>
  <c r="BH148" i="25"/>
  <c r="BF148" i="25"/>
  <c r="BT148" i="25"/>
  <c r="BG148" i="25"/>
  <c r="CD141" i="25"/>
  <c r="BH141" i="25"/>
  <c r="BF141" i="25"/>
  <c r="BG141" i="25"/>
  <c r="BT141" i="25"/>
  <c r="CD149" i="25"/>
  <c r="BH149" i="25"/>
  <c r="BT149" i="25"/>
  <c r="BF149" i="25"/>
  <c r="BG149" i="25"/>
  <c r="CD126" i="25"/>
  <c r="BF126" i="25"/>
  <c r="BT126" i="25"/>
  <c r="BG126" i="25"/>
  <c r="BH126" i="25"/>
  <c r="CD165" i="25"/>
  <c r="BG165" i="25"/>
  <c r="BT165" i="25"/>
  <c r="BF165" i="25"/>
  <c r="BH165" i="25"/>
  <c r="CD152" i="25"/>
  <c r="BF152" i="25"/>
  <c r="BT152" i="25"/>
  <c r="BG152" i="25"/>
  <c r="BH152" i="25"/>
  <c r="CD158" i="25"/>
  <c r="BH158" i="25"/>
  <c r="BT158" i="25"/>
  <c r="BF158" i="25"/>
  <c r="BG158" i="25"/>
  <c r="CD121" i="25"/>
  <c r="BG121" i="25"/>
  <c r="BH121" i="25"/>
  <c r="BF121" i="25"/>
  <c r="BT121" i="25"/>
  <c r="CD143" i="25"/>
  <c r="BF143" i="25"/>
  <c r="BG143" i="25"/>
  <c r="BT143" i="25"/>
  <c r="BH143" i="25"/>
  <c r="CD136" i="25"/>
  <c r="BG136" i="25"/>
  <c r="BT136" i="25"/>
  <c r="BF136" i="25"/>
  <c r="BH136" i="25"/>
  <c r="CD138" i="25"/>
  <c r="BH138" i="25"/>
  <c r="BF138" i="25"/>
  <c r="BT138" i="25"/>
  <c r="BG138" i="25"/>
  <c r="CD189" i="25"/>
  <c r="BF189" i="25"/>
  <c r="BG189" i="25"/>
  <c r="BT189" i="25"/>
  <c r="BH189" i="25"/>
  <c r="CD123" i="25"/>
  <c r="BT123" i="25"/>
  <c r="BG123" i="25"/>
  <c r="BH123" i="25"/>
  <c r="BF123" i="25"/>
  <c r="CD175" i="25"/>
  <c r="BF175" i="25"/>
  <c r="BT175" i="25"/>
  <c r="BH175" i="25"/>
  <c r="BG175" i="25"/>
  <c r="CD163" i="25"/>
  <c r="BH163" i="25"/>
  <c r="BF163" i="25"/>
  <c r="BT163" i="25"/>
  <c r="BG163" i="25"/>
  <c r="CD172" i="25"/>
  <c r="BF172" i="25"/>
  <c r="BG172" i="25"/>
  <c r="BT172" i="25"/>
  <c r="BH172" i="25"/>
  <c r="CD209" i="25"/>
  <c r="BT209" i="25"/>
  <c r="BG209" i="25"/>
  <c r="BH209" i="25"/>
  <c r="BF209" i="25"/>
  <c r="CD167" i="25"/>
  <c r="BH167" i="25"/>
  <c r="BT167" i="25"/>
  <c r="BG167" i="25"/>
  <c r="BF167" i="25"/>
  <c r="CD187" i="25"/>
  <c r="BH187" i="25"/>
  <c r="BG187" i="25"/>
  <c r="BT187" i="25"/>
  <c r="BF187" i="25"/>
  <c r="CD154" i="25"/>
  <c r="BH154" i="25"/>
  <c r="BG154" i="25"/>
  <c r="BT154" i="25"/>
  <c r="BF154" i="25"/>
  <c r="CD161" i="25"/>
  <c r="BH161" i="25"/>
  <c r="BG161" i="25"/>
  <c r="BT161" i="25"/>
  <c r="BF161" i="25"/>
  <c r="CD119" i="25"/>
  <c r="BG119" i="25"/>
  <c r="BF119" i="25"/>
  <c r="BT119" i="25"/>
  <c r="BH119" i="25"/>
  <c r="CD177" i="25"/>
  <c r="BG177" i="25"/>
  <c r="BT177" i="25"/>
  <c r="BH177" i="25"/>
  <c r="BF177" i="25"/>
  <c r="BF133" i="25"/>
  <c r="BT133" i="25"/>
  <c r="BG133" i="25"/>
  <c r="BH133" i="25"/>
  <c r="CD144" i="25"/>
  <c r="BH144" i="25"/>
  <c r="BG144" i="25"/>
  <c r="BF144" i="25"/>
  <c r="BT144" i="25"/>
  <c r="BH122" i="25"/>
  <c r="BG122" i="25"/>
  <c r="BT122" i="25"/>
  <c r="BF122" i="25"/>
  <c r="CD160" i="25"/>
  <c r="BF160" i="25"/>
  <c r="BT160" i="25"/>
  <c r="BG160" i="25"/>
  <c r="BH160" i="25"/>
  <c r="CD191" i="25"/>
  <c r="BF191" i="25"/>
  <c r="BT191" i="25"/>
  <c r="BG191" i="25"/>
  <c r="BH191" i="25"/>
  <c r="CD171" i="25"/>
  <c r="BF171" i="25"/>
  <c r="BG171" i="25"/>
  <c r="BH171" i="25"/>
  <c r="BT171" i="25"/>
  <c r="BH112" i="25"/>
  <c r="BF112" i="25"/>
  <c r="BG112" i="25"/>
  <c r="BT112" i="25"/>
  <c r="CD182" i="25"/>
  <c r="BG182" i="25"/>
  <c r="BH182" i="25"/>
  <c r="BT182" i="25"/>
  <c r="BF182" i="25"/>
  <c r="CD155" i="25"/>
  <c r="BF155" i="25"/>
  <c r="BG155" i="25"/>
  <c r="BH155" i="25"/>
  <c r="BT155" i="25"/>
  <c r="CD178" i="25"/>
  <c r="BF178" i="25"/>
  <c r="BG178" i="25"/>
  <c r="BT178" i="25"/>
  <c r="BH178" i="25"/>
  <c r="CD153" i="25"/>
  <c r="BH153" i="25"/>
  <c r="BG153" i="25"/>
  <c r="BF153" i="25"/>
  <c r="BT153" i="25"/>
  <c r="BG135" i="25"/>
  <c r="BH135" i="25"/>
  <c r="BT135" i="25"/>
  <c r="BF135" i="25"/>
  <c r="CD159" i="25"/>
  <c r="BG159" i="25"/>
  <c r="BT159" i="25"/>
  <c r="BF159" i="25"/>
  <c r="BH159" i="25"/>
  <c r="BF173" i="25"/>
  <c r="BT173" i="25"/>
  <c r="BG173" i="25"/>
  <c r="BH173" i="25"/>
  <c r="CD127" i="25"/>
  <c r="BF127" i="25"/>
  <c r="BT127" i="25"/>
  <c r="BG127" i="25"/>
  <c r="BH127" i="25"/>
  <c r="BH162" i="25"/>
  <c r="BT162" i="25"/>
  <c r="BG162" i="25"/>
  <c r="BF162" i="25"/>
  <c r="AX154" i="24"/>
  <c r="BH142" i="24"/>
  <c r="BH139" i="24"/>
  <c r="BH121" i="24"/>
  <c r="BH179" i="24"/>
  <c r="AX143" i="24"/>
  <c r="BH171" i="24"/>
  <c r="BH158" i="24"/>
  <c r="BT120" i="24"/>
  <c r="BH185" i="24"/>
  <c r="BV183" i="24"/>
  <c r="AX197" i="24"/>
  <c r="BT154" i="24"/>
  <c r="AX127" i="24"/>
  <c r="BV125" i="24"/>
  <c r="BH145" i="24"/>
  <c r="AX139" i="24"/>
  <c r="AX179" i="24"/>
  <c r="BV145" i="24"/>
  <c r="BV142" i="24"/>
  <c r="BV139" i="24"/>
  <c r="CD164" i="24"/>
  <c r="BI164" i="24"/>
  <c r="BJ164" i="24"/>
  <c r="BH164" i="24"/>
  <c r="AX164" i="24"/>
  <c r="BT164" i="24"/>
  <c r="BV164" i="24"/>
  <c r="BI175" i="24"/>
  <c r="BJ175" i="24"/>
  <c r="BT175" i="24"/>
  <c r="AX175" i="24"/>
  <c r="BV175" i="24"/>
  <c r="BH175" i="24"/>
  <c r="CD201" i="24"/>
  <c r="BI201" i="24"/>
  <c r="BJ201" i="24"/>
  <c r="AT116" i="24"/>
  <c r="BT116" i="24"/>
  <c r="BV116" i="24"/>
  <c r="BH116" i="24"/>
  <c r="AX116" i="24"/>
  <c r="BI113" i="24"/>
  <c r="BJ113" i="24"/>
  <c r="BT113" i="24"/>
  <c r="BV113" i="24"/>
  <c r="AX113" i="24"/>
  <c r="BH113" i="24"/>
  <c r="AT136" i="24"/>
  <c r="CD144" i="24"/>
  <c r="BI144" i="24"/>
  <c r="BJ144" i="24"/>
  <c r="BT144" i="24"/>
  <c r="BH144" i="24"/>
  <c r="BV144" i="24"/>
  <c r="AT148" i="24"/>
  <c r="BT148" i="24"/>
  <c r="BV148" i="24"/>
  <c r="BH148" i="24"/>
  <c r="AX148" i="24"/>
  <c r="AT169" i="24"/>
  <c r="AT181" i="24"/>
  <c r="AT208" i="24"/>
  <c r="CD190" i="24"/>
  <c r="BI190" i="24"/>
  <c r="BJ190" i="24"/>
  <c r="BT190" i="24"/>
  <c r="BV190" i="24"/>
  <c r="AX190" i="24"/>
  <c r="BH190" i="24"/>
  <c r="BI148" i="24"/>
  <c r="BJ148" i="24"/>
  <c r="CD126" i="24"/>
  <c r="BI126" i="24"/>
  <c r="BJ126" i="24"/>
  <c r="BV126" i="24"/>
  <c r="BH126" i="24"/>
  <c r="BT126" i="24"/>
  <c r="AX126" i="24"/>
  <c r="CD111" i="24"/>
  <c r="BI111" i="24"/>
  <c r="BJ111" i="24"/>
  <c r="BJ118" i="24"/>
  <c r="BI118" i="24"/>
  <c r="BV118" i="24"/>
  <c r="AX118" i="24"/>
  <c r="BT118" i="24"/>
  <c r="BH118" i="24"/>
  <c r="AQ200" i="24"/>
  <c r="BI200" i="24"/>
  <c r="BJ200" i="24"/>
  <c r="AX200" i="24"/>
  <c r="BH200" i="24"/>
  <c r="BV200" i="24"/>
  <c r="BT200" i="24"/>
  <c r="CD178" i="24"/>
  <c r="BI178" i="24"/>
  <c r="BJ178" i="24"/>
  <c r="BT178" i="24"/>
  <c r="AX178" i="24"/>
  <c r="BH178" i="24"/>
  <c r="BV178" i="24"/>
  <c r="CD197" i="24"/>
  <c r="BI197" i="24"/>
  <c r="BJ197" i="24"/>
  <c r="BJ116" i="24"/>
  <c r="BI116" i="24"/>
  <c r="AT123" i="24"/>
  <c r="AT122" i="24"/>
  <c r="CD177" i="24"/>
  <c r="BI177" i="24"/>
  <c r="BJ177" i="24"/>
  <c r="BI137" i="24"/>
  <c r="BJ137" i="24"/>
  <c r="BI143" i="24"/>
  <c r="BJ143" i="24"/>
  <c r="BI120" i="24"/>
  <c r="BJ120" i="24"/>
  <c r="BJ153" i="24"/>
  <c r="BI153" i="24"/>
  <c r="CD171" i="24"/>
  <c r="BI171" i="24"/>
  <c r="BJ171" i="24"/>
  <c r="AT172" i="24"/>
  <c r="BV121" i="24"/>
  <c r="BH120" i="24"/>
  <c r="BT177" i="24"/>
  <c r="BH137" i="24"/>
  <c r="BT197" i="24"/>
  <c r="BV127" i="24"/>
  <c r="CD160" i="24"/>
  <c r="BJ160" i="24"/>
  <c r="BI160" i="24"/>
  <c r="BH160" i="24"/>
  <c r="AX160" i="24"/>
  <c r="BV160" i="24"/>
  <c r="BT160" i="24"/>
  <c r="BI135" i="24"/>
  <c r="BJ135" i="24"/>
  <c r="BT135" i="24"/>
  <c r="AX135" i="24"/>
  <c r="BV135" i="24"/>
  <c r="BH135" i="24"/>
  <c r="CD154" i="24"/>
  <c r="BI154" i="24"/>
  <c r="BJ154" i="24"/>
  <c r="AT115" i="24"/>
  <c r="CD125" i="24"/>
  <c r="BI125" i="24"/>
  <c r="BJ125" i="24"/>
  <c r="CD187" i="24"/>
  <c r="BI187" i="24"/>
  <c r="BJ187" i="24"/>
  <c r="CD183" i="24"/>
  <c r="BI183" i="24"/>
  <c r="BJ183" i="24"/>
  <c r="CD179" i="24"/>
  <c r="BI179" i="24"/>
  <c r="BJ179" i="24"/>
  <c r="CD151" i="24"/>
  <c r="BJ151" i="24"/>
  <c r="BI151" i="24"/>
  <c r="CD185" i="24"/>
  <c r="BI185" i="24"/>
  <c r="BJ185" i="24"/>
  <c r="BI158" i="24"/>
  <c r="BJ158" i="24"/>
  <c r="AT157" i="24"/>
  <c r="AT201" i="24"/>
  <c r="BT201" i="24"/>
  <c r="AX201" i="24"/>
  <c r="BV201" i="24"/>
  <c r="BH201" i="24"/>
  <c r="AT153" i="24"/>
  <c r="BT153" i="24"/>
  <c r="BV153" i="24"/>
  <c r="AX153" i="24"/>
  <c r="BH153" i="24"/>
  <c r="AT195" i="24"/>
  <c r="BV171" i="24"/>
  <c r="AX121" i="24"/>
  <c r="AX158" i="24"/>
  <c r="BT158" i="24"/>
  <c r="BV120" i="24"/>
  <c r="BH111" i="24"/>
  <c r="BT111" i="24"/>
  <c r="BT185" i="24"/>
  <c r="AX151" i="24"/>
  <c r="BT151" i="24"/>
  <c r="BH177" i="24"/>
  <c r="BV177" i="24"/>
  <c r="BH183" i="24"/>
  <c r="BT183" i="24"/>
  <c r="AX142" i="24"/>
  <c r="BV137" i="24"/>
  <c r="BT137" i="24"/>
  <c r="BV197" i="24"/>
  <c r="BV179" i="24"/>
  <c r="BV154" i="24"/>
  <c r="BT143" i="24"/>
  <c r="BT125" i="24"/>
  <c r="AX145" i="24"/>
  <c r="CD121" i="24"/>
  <c r="BI121" i="24"/>
  <c r="BJ121" i="24"/>
  <c r="BI138" i="24"/>
  <c r="BJ138" i="24"/>
  <c r="BV138" i="24"/>
  <c r="BT138" i="24"/>
  <c r="BH138" i="24"/>
  <c r="AX138" i="24"/>
  <c r="CD140" i="24"/>
  <c r="BJ140" i="24"/>
  <c r="BI140" i="24"/>
  <c r="BH140" i="24"/>
  <c r="AX140" i="24"/>
  <c r="BT140" i="24"/>
  <c r="BV140" i="24"/>
  <c r="CD202" i="24"/>
  <c r="BI202" i="24"/>
  <c r="BJ202" i="24"/>
  <c r="BT202" i="24"/>
  <c r="AX202" i="24"/>
  <c r="BV202" i="24"/>
  <c r="BH202" i="24"/>
  <c r="CD173" i="24"/>
  <c r="BI173" i="24"/>
  <c r="BJ173" i="24"/>
  <c r="AX173" i="24"/>
  <c r="BV173" i="24"/>
  <c r="BT173" i="24"/>
  <c r="BH173" i="24"/>
  <c r="CD129" i="24"/>
  <c r="BI129" i="24"/>
  <c r="BJ129" i="24"/>
  <c r="BH129" i="24"/>
  <c r="BT129" i="24"/>
  <c r="AX129" i="24"/>
  <c r="BV129" i="24"/>
  <c r="CD124" i="24"/>
  <c r="BJ124" i="24"/>
  <c r="BI124" i="24"/>
  <c r="BV124" i="24"/>
  <c r="BH124" i="24"/>
  <c r="AX124" i="24"/>
  <c r="BT124" i="24"/>
  <c r="CD127" i="24"/>
  <c r="BI127" i="24"/>
  <c r="BJ127" i="24"/>
  <c r="CD180" i="24"/>
  <c r="BJ180" i="24"/>
  <c r="BI180" i="24"/>
  <c r="BV180" i="24"/>
  <c r="AX180" i="24"/>
  <c r="BH180" i="24"/>
  <c r="BT180" i="24"/>
  <c r="BI145" i="24"/>
  <c r="BJ145" i="24"/>
  <c r="CD142" i="24"/>
  <c r="BI142" i="24"/>
  <c r="BJ142" i="24"/>
  <c r="AT112" i="24"/>
  <c r="CD139" i="24"/>
  <c r="BI139" i="24"/>
  <c r="BJ139" i="24"/>
  <c r="AT155" i="24"/>
  <c r="AT210" i="24"/>
  <c r="AT187" i="24"/>
  <c r="BT187" i="24"/>
  <c r="BH187" i="24"/>
  <c r="BV187" i="24"/>
  <c r="AX187" i="24"/>
  <c r="AT207" i="24"/>
  <c r="BT171" i="24"/>
  <c r="BV111" i="24"/>
  <c r="AX185" i="24"/>
  <c r="AX177" i="24"/>
  <c r="AX137" i="24"/>
  <c r="BH127" i="24"/>
  <c r="BH143" i="24"/>
  <c r="AX125" i="24"/>
  <c r="AN165" i="24"/>
  <c r="AQ165" i="24" s="1"/>
  <c r="BV56" i="24"/>
  <c r="BV74" i="24"/>
  <c r="AK152" i="24"/>
  <c r="AV15" i="24"/>
  <c r="AV33" i="24"/>
  <c r="AV41" i="24"/>
  <c r="AV64" i="24"/>
  <c r="AV46" i="24"/>
  <c r="BV46" i="24"/>
  <c r="AV63" i="24"/>
  <c r="BV63" i="24"/>
  <c r="BV89" i="24"/>
  <c r="AV92" i="24"/>
  <c r="BV92" i="24"/>
  <c r="AV79" i="24"/>
  <c r="BV79" i="24"/>
  <c r="AV34" i="24"/>
  <c r="AV11" i="24"/>
  <c r="AV99" i="24"/>
  <c r="AT8" i="24"/>
  <c r="BA8" i="24" s="1"/>
  <c r="AV28" i="24"/>
  <c r="BV28" i="24"/>
  <c r="AV31" i="24"/>
  <c r="BV31" i="24"/>
  <c r="AV18" i="24"/>
  <c r="BV18" i="24"/>
  <c r="AV96" i="24"/>
  <c r="BV96" i="24"/>
  <c r="AV55" i="24"/>
  <c r="BV100" i="24"/>
  <c r="AV49" i="24"/>
  <c r="AV43" i="24"/>
  <c r="AV35" i="24"/>
  <c r="AV29" i="24"/>
  <c r="BV29" i="24"/>
  <c r="AV21" i="24"/>
  <c r="BV21" i="24"/>
  <c r="AV51" i="24"/>
  <c r="AV72" i="24"/>
  <c r="BV72" i="24"/>
  <c r="BV83" i="24"/>
  <c r="AV19" i="24"/>
  <c r="BV19" i="24"/>
  <c r="AT13" i="24"/>
  <c r="BA13" i="24" s="1"/>
  <c r="AV40" i="24"/>
  <c r="BV40" i="24"/>
  <c r="AV59" i="24"/>
  <c r="BV59" i="24"/>
  <c r="AV54" i="24"/>
  <c r="BV54" i="24"/>
  <c r="AV68" i="24"/>
  <c r="BV68" i="24"/>
  <c r="AV82" i="24"/>
  <c r="BV82" i="24"/>
  <c r="AV97" i="24"/>
  <c r="BV32" i="24"/>
  <c r="BV53" i="24"/>
  <c r="AK172" i="24"/>
  <c r="AT79" i="24"/>
  <c r="BA79" i="24" s="1"/>
  <c r="AN152" i="24"/>
  <c r="AK70" i="24"/>
  <c r="AK253" i="24"/>
  <c r="AN278" i="24"/>
  <c r="CD278" i="24" s="1"/>
  <c r="AN305" i="24"/>
  <c r="AQ305" i="24" s="1"/>
  <c r="AN182" i="24"/>
  <c r="AK281" i="24"/>
  <c r="AK313" i="24"/>
  <c r="AN70" i="24"/>
  <c r="AN78" i="24"/>
  <c r="AN193" i="24"/>
  <c r="AQ104" i="24"/>
  <c r="CD104" i="24"/>
  <c r="AK277" i="24"/>
  <c r="BF32" i="25"/>
  <c r="CD32" i="25"/>
  <c r="AX36" i="24"/>
  <c r="CD36" i="24"/>
  <c r="AN237" i="24"/>
  <c r="AS237" i="24" s="1"/>
  <c r="AK246" i="24"/>
  <c r="AK190" i="24"/>
  <c r="CD78" i="24"/>
  <c r="AX42" i="24"/>
  <c r="CD42" i="24"/>
  <c r="AK115" i="24"/>
  <c r="AK137" i="24"/>
  <c r="AN238" i="24"/>
  <c r="AQ238" i="24" s="1"/>
  <c r="AK154" i="24"/>
  <c r="AN260" i="24"/>
  <c r="AQ260" i="24" s="1"/>
  <c r="AK263" i="24"/>
  <c r="AK280" i="24"/>
  <c r="AK207" i="24"/>
  <c r="AK260" i="24"/>
  <c r="AK195" i="24"/>
  <c r="AJ103" i="24"/>
  <c r="AK193" i="24"/>
  <c r="AN128" i="24"/>
  <c r="AN132" i="24"/>
  <c r="AK289" i="24"/>
  <c r="AN191" i="24"/>
  <c r="CD191" i="24" s="1"/>
  <c r="AK157" i="24"/>
  <c r="AK262" i="24"/>
  <c r="AK132" i="24"/>
  <c r="AN262" i="24"/>
  <c r="AS262" i="24" s="1"/>
  <c r="AK169" i="24"/>
  <c r="AN189" i="24"/>
  <c r="AN311" i="24"/>
  <c r="AQ311" i="24" s="1"/>
  <c r="AK248" i="24"/>
  <c r="AK114" i="24"/>
  <c r="AK270" i="24"/>
  <c r="AK210" i="24"/>
  <c r="AN255" i="24"/>
  <c r="CD255" i="24" s="1"/>
  <c r="AN146" i="24"/>
  <c r="AK312" i="24"/>
  <c r="AN217" i="24"/>
  <c r="CD217" i="24" s="1"/>
  <c r="AK283" i="24"/>
  <c r="AJ81" i="24"/>
  <c r="AJ75" i="24"/>
  <c r="AJ93" i="24"/>
  <c r="AK242" i="24"/>
  <c r="AK196" i="24"/>
  <c r="AN147" i="24"/>
  <c r="AN312" i="24"/>
  <c r="AQ312" i="24" s="1"/>
  <c r="AN291" i="24"/>
  <c r="CD291" i="24" s="1"/>
  <c r="AK249" i="24"/>
  <c r="AN263" i="24"/>
  <c r="AS263" i="24" s="1"/>
  <c r="AN289" i="24"/>
  <c r="AK244" i="24"/>
  <c r="AK261" i="24"/>
  <c r="AK158" i="24"/>
  <c r="AK183" i="24"/>
  <c r="AK191" i="24"/>
  <c r="AK56" i="24"/>
  <c r="AJ98" i="24"/>
  <c r="AN73" i="24"/>
  <c r="BV73" i="24" s="1"/>
  <c r="AK269" i="24"/>
  <c r="AK252" i="24"/>
  <c r="AN170" i="24"/>
  <c r="AX63" i="24"/>
  <c r="AN55" i="24"/>
  <c r="BT55" i="24" s="1"/>
  <c r="AN159" i="24"/>
  <c r="AN25" i="24"/>
  <c r="AK189" i="24"/>
  <c r="AK162" i="24"/>
  <c r="AN295" i="24"/>
  <c r="AQ295" i="24" s="1"/>
  <c r="AK142" i="24"/>
  <c r="AK174" i="24"/>
  <c r="AN33" i="24"/>
  <c r="AX33" i="24" s="1"/>
  <c r="AN167" i="24"/>
  <c r="CD167" i="24" s="1"/>
  <c r="AN168" i="24"/>
  <c r="AN122" i="24"/>
  <c r="AN166" i="24"/>
  <c r="AN242" i="24"/>
  <c r="AQ242" i="24" s="1"/>
  <c r="AK97" i="24"/>
  <c r="AN265" i="24"/>
  <c r="CD265" i="24" s="1"/>
  <c r="AK185" i="24"/>
  <c r="AT97" i="24"/>
  <c r="BA97" i="24" s="1"/>
  <c r="AN269" i="24"/>
  <c r="AS269" i="24" s="1"/>
  <c r="AN226" i="24"/>
  <c r="AQ226" i="24" s="1"/>
  <c r="AK147" i="24"/>
  <c r="AK155" i="24"/>
  <c r="AK92" i="24"/>
  <c r="AT92" i="24"/>
  <c r="BA92" i="24" s="1"/>
  <c r="AK171" i="24"/>
  <c r="AN130" i="24"/>
  <c r="AJ67" i="24"/>
  <c r="AJ84" i="24"/>
  <c r="AJ76" i="24"/>
  <c r="AK166" i="24"/>
  <c r="AX68" i="24"/>
  <c r="AT68" i="24"/>
  <c r="BA68" i="24" s="1"/>
  <c r="AK257" i="24"/>
  <c r="AK267" i="24"/>
  <c r="AJ66" i="24"/>
  <c r="AJ44" i="24"/>
  <c r="AT82" i="24"/>
  <c r="BA82" i="24" s="1"/>
  <c r="AN114" i="24"/>
  <c r="AK290" i="24"/>
  <c r="AN150" i="24"/>
  <c r="AK282" i="24"/>
  <c r="AK299" i="24"/>
  <c r="AN198" i="24"/>
  <c r="AK153" i="24"/>
  <c r="AK120" i="24"/>
  <c r="AN176" i="24"/>
  <c r="AK143" i="24"/>
  <c r="AN308" i="24"/>
  <c r="AQ308" i="24" s="1"/>
  <c r="AN206" i="24"/>
  <c r="AN117" i="24"/>
  <c r="AT59" i="24"/>
  <c r="BA59" i="24" s="1"/>
  <c r="AK139" i="24"/>
  <c r="AK168" i="24"/>
  <c r="AN156" i="24"/>
  <c r="AN204" i="24"/>
  <c r="AK151" i="24"/>
  <c r="AN231" i="24"/>
  <c r="AS231" i="24" s="1"/>
  <c r="BH46" i="24"/>
  <c r="AN232" i="24"/>
  <c r="AQ232" i="24" s="1"/>
  <c r="AN195" i="24"/>
  <c r="BH195" i="24" s="1"/>
  <c r="AK144" i="24"/>
  <c r="AT46" i="24"/>
  <c r="BA46" i="24" s="1"/>
  <c r="AT63" i="24"/>
  <c r="BA63" i="24" s="1"/>
  <c r="AK25" i="24"/>
  <c r="AK51" i="24"/>
  <c r="AK298" i="24"/>
  <c r="AT51" i="24"/>
  <c r="BA51" i="24" s="1"/>
  <c r="AK276" i="24"/>
  <c r="AN296" i="24"/>
  <c r="AS296" i="24" s="1"/>
  <c r="AN306" i="24"/>
  <c r="AK89" i="24"/>
  <c r="AK225" i="24"/>
  <c r="AV88" i="24"/>
  <c r="AT88" i="24"/>
  <c r="BA88" i="24" s="1"/>
  <c r="AN10" i="24"/>
  <c r="AN284" i="24"/>
  <c r="AQ284" i="24" s="1"/>
  <c r="AJ77" i="24"/>
  <c r="AN174" i="24"/>
  <c r="AT40" i="24"/>
  <c r="BA40" i="24" s="1"/>
  <c r="AN225" i="24"/>
  <c r="AQ225" i="24" s="1"/>
  <c r="AN133" i="24"/>
  <c r="AT72" i="24"/>
  <c r="BA72" i="24" s="1"/>
  <c r="AJ71" i="24"/>
  <c r="AT54" i="24"/>
  <c r="BA54" i="24" s="1"/>
  <c r="AV89" i="24"/>
  <c r="AT89" i="24"/>
  <c r="BA89" i="24" s="1"/>
  <c r="AJ80" i="24"/>
  <c r="AJ90" i="24"/>
  <c r="AJ39" i="24"/>
  <c r="AK112" i="24"/>
  <c r="AK113" i="24"/>
  <c r="AJ57" i="24"/>
  <c r="AJ62" i="24"/>
  <c r="AK64" i="24"/>
  <c r="AT64" i="24"/>
  <c r="BA64" i="24" s="1"/>
  <c r="AN162" i="24"/>
  <c r="AN209" i="24"/>
  <c r="AK179" i="24"/>
  <c r="AV61" i="24"/>
  <c r="AT61" i="24"/>
  <c r="BA61" i="24" s="1"/>
  <c r="AJ38" i="24"/>
  <c r="AT43" i="24"/>
  <c r="BA43" i="24" s="1"/>
  <c r="AJ45" i="24"/>
  <c r="AK136" i="24"/>
  <c r="AN188" i="24"/>
  <c r="AJ48" i="24"/>
  <c r="AJ52" i="24"/>
  <c r="AN119" i="24"/>
  <c r="AK145" i="24"/>
  <c r="AK167" i="24"/>
  <c r="BH40" i="24"/>
  <c r="AK41" i="24"/>
  <c r="AN141" i="24"/>
  <c r="AN184" i="24"/>
  <c r="AN95" i="24"/>
  <c r="CD95" i="24" s="1"/>
  <c r="AK46" i="24"/>
  <c r="AT41" i="24"/>
  <c r="BA41" i="24" s="1"/>
  <c r="AN112" i="24"/>
  <c r="AN196" i="24"/>
  <c r="AN208" i="24"/>
  <c r="BV208" i="24" s="1"/>
  <c r="AN101" i="24"/>
  <c r="AK54" i="24"/>
  <c r="AN60" i="24"/>
  <c r="BV60" i="24" s="1"/>
  <c r="AN181" i="24"/>
  <c r="BT181" i="24" s="1"/>
  <c r="AN157" i="24"/>
  <c r="BV157" i="24" s="1"/>
  <c r="AK36" i="24"/>
  <c r="AN23" i="24"/>
  <c r="AN205" i="24"/>
  <c r="AN199" i="24"/>
  <c r="AK96" i="24"/>
  <c r="AN97" i="24"/>
  <c r="CD97" i="24" s="1"/>
  <c r="AN51" i="24"/>
  <c r="BV51" i="24" s="1"/>
  <c r="AN105" i="24"/>
  <c r="CD105" i="24" s="1"/>
  <c r="AK85" i="24"/>
  <c r="AK100" i="24"/>
  <c r="AK148" i="24"/>
  <c r="AN192" i="24"/>
  <c r="AN186" i="24"/>
  <c r="AT21" i="24"/>
  <c r="BA21" i="24" s="1"/>
  <c r="AN203" i="24"/>
  <c r="AK177" i="24"/>
  <c r="AV13" i="24"/>
  <c r="AN41" i="24"/>
  <c r="BH41" i="24" s="1"/>
  <c r="AN210" i="24"/>
  <c r="AX210" i="24" s="1"/>
  <c r="AK187" i="24"/>
  <c r="AK122" i="24"/>
  <c r="AT31" i="24"/>
  <c r="BA31" i="24" s="1"/>
  <c r="AN14" i="24"/>
  <c r="AN172" i="24"/>
  <c r="BH172" i="24" s="1"/>
  <c r="AN131" i="24"/>
  <c r="AK159" i="24"/>
  <c r="AT18" i="24"/>
  <c r="BA18" i="24" s="1"/>
  <c r="AK82" i="24"/>
  <c r="AX31" i="24"/>
  <c r="AK18" i="24"/>
  <c r="AN115" i="24"/>
  <c r="BV115" i="24" s="1"/>
  <c r="AK40" i="24"/>
  <c r="AK42" i="24"/>
  <c r="AK79" i="24"/>
  <c r="AN149" i="24"/>
  <c r="AK23" i="24"/>
  <c r="AK125" i="24"/>
  <c r="AN161" i="24"/>
  <c r="AN155" i="24"/>
  <c r="BH155" i="24" s="1"/>
  <c r="AN207" i="24"/>
  <c r="BV207" i="24" s="1"/>
  <c r="AN163" i="24"/>
  <c r="AN136" i="24"/>
  <c r="AK21" i="24"/>
  <c r="AK72" i="24"/>
  <c r="BH21" i="24"/>
  <c r="CD70" i="24"/>
  <c r="AT33" i="24"/>
  <c r="BA33" i="24" s="1"/>
  <c r="AN27" i="24"/>
  <c r="AX92" i="24"/>
  <c r="CD92" i="24"/>
  <c r="AN64" i="24"/>
  <c r="BH64" i="24" s="1"/>
  <c r="AT19" i="24"/>
  <c r="BA19" i="24" s="1"/>
  <c r="AK29" i="24"/>
  <c r="AK55" i="24"/>
  <c r="AN86" i="24"/>
  <c r="BH19" i="24"/>
  <c r="AN87" i="24"/>
  <c r="CD87" i="24" s="1"/>
  <c r="AK28" i="24"/>
  <c r="AG65" i="24"/>
  <c r="AN65" i="24" s="1"/>
  <c r="BI65" i="24" s="1"/>
  <c r="AN169" i="24"/>
  <c r="AX169" i="24" s="1"/>
  <c r="AN50" i="24"/>
  <c r="CD50" i="24" s="1"/>
  <c r="AK33" i="24"/>
  <c r="AG71" i="24"/>
  <c r="AK123" i="24"/>
  <c r="AT15" i="24"/>
  <c r="BA15" i="24" s="1"/>
  <c r="AN134" i="24"/>
  <c r="BF90" i="25"/>
  <c r="CD90" i="25"/>
  <c r="AT29" i="24"/>
  <c r="BA29" i="24" s="1"/>
  <c r="AG13" i="24"/>
  <c r="AK13" i="24" s="1"/>
  <c r="AK116" i="24"/>
  <c r="AN194" i="24"/>
  <c r="AV8" i="24"/>
  <c r="BH28" i="24"/>
  <c r="AK201" i="24"/>
  <c r="AN123" i="24"/>
  <c r="BV123" i="24" s="1"/>
  <c r="AK31" i="24"/>
  <c r="AK53" i="24"/>
  <c r="AT28" i="24"/>
  <c r="BA28" i="24" s="1"/>
  <c r="AN91" i="24"/>
  <c r="AK63" i="24"/>
  <c r="AK68" i="24"/>
  <c r="AK59" i="24"/>
  <c r="AF43" i="24"/>
  <c r="AK43" i="24" s="1"/>
  <c r="AK19" i="24"/>
  <c r="AK32" i="24"/>
  <c r="AT49" i="24"/>
  <c r="BA49" i="24" s="1"/>
  <c r="AG49" i="24"/>
  <c r="AK49" i="24" s="1"/>
  <c r="AV37" i="24"/>
  <c r="AT37" i="24"/>
  <c r="BA37" i="24" s="1"/>
  <c r="BT104" i="24"/>
  <c r="AX104" i="24"/>
  <c r="BI104" i="24"/>
  <c r="AN69" i="24"/>
  <c r="AK104" i="24"/>
  <c r="AN43" i="24"/>
  <c r="AX43" i="24" s="1"/>
  <c r="AG102" i="24"/>
  <c r="AJ22" i="24"/>
  <c r="AT34" i="24"/>
  <c r="BA34" i="24" s="1"/>
  <c r="AG48" i="24"/>
  <c r="BH104" i="24"/>
  <c r="AV65" i="24"/>
  <c r="AT65" i="24"/>
  <c r="BA65" i="24" s="1"/>
  <c r="AS104" i="24"/>
  <c r="AU104" i="24" s="1"/>
  <c r="BB104" i="24" s="1"/>
  <c r="AG22" i="24"/>
  <c r="AN22" i="24" s="1"/>
  <c r="AV102" i="24"/>
  <c r="AT102" i="24"/>
  <c r="BA102" i="24" s="1"/>
  <c r="BJ104" i="24"/>
  <c r="AG81" i="24"/>
  <c r="AN81" i="24" s="1"/>
  <c r="CD81" i="24" s="1"/>
  <c r="AG15" i="24"/>
  <c r="AK15" i="24" s="1"/>
  <c r="AG34" i="24"/>
  <c r="AN34" i="24" s="1"/>
  <c r="AX34" i="24" s="1"/>
  <c r="AG93" i="24"/>
  <c r="AJ12" i="24"/>
  <c r="AG37" i="24"/>
  <c r="AF37" i="24"/>
  <c r="AJ20" i="24"/>
  <c r="AF8" i="24"/>
  <c r="AG8" i="24"/>
  <c r="AA94" i="24"/>
  <c r="AB94" i="24" s="1"/>
  <c r="AC94" i="24" s="1"/>
  <c r="AJ94" i="24" s="1"/>
  <c r="AG94" i="24"/>
  <c r="AV6" i="24"/>
  <c r="AT6" i="24"/>
  <c r="BA6" i="24" s="1"/>
  <c r="AT35" i="24"/>
  <c r="BA35" i="24" s="1"/>
  <c r="AT99" i="24"/>
  <c r="BA99" i="24" s="1"/>
  <c r="AJ7" i="24"/>
  <c r="AT11" i="24"/>
  <c r="BA11" i="24" s="1"/>
  <c r="AV58" i="24"/>
  <c r="AT58" i="24"/>
  <c r="BA58" i="24" s="1"/>
  <c r="AF11" i="24"/>
  <c r="AG11" i="24"/>
  <c r="AF57" i="24"/>
  <c r="AG57" i="24"/>
  <c r="AG88" i="24"/>
  <c r="AK88" i="24" s="1"/>
  <c r="AG16" i="24"/>
  <c r="AF16" i="24"/>
  <c r="AF67" i="24"/>
  <c r="AG67" i="24"/>
  <c r="AF39" i="24"/>
  <c r="AG39" i="24"/>
  <c r="AF99" i="24"/>
  <c r="AG99" i="24"/>
  <c r="AF47" i="24"/>
  <c r="AG47" i="24"/>
  <c r="AJ9" i="24"/>
  <c r="AF12" i="24"/>
  <c r="AG12" i="24"/>
  <c r="AF58" i="24"/>
  <c r="AG58" i="24"/>
  <c r="AF76" i="24"/>
  <c r="AG76" i="24"/>
  <c r="AG24" i="24"/>
  <c r="AF24" i="24"/>
  <c r="AF30" i="24"/>
  <c r="AG30" i="24"/>
  <c r="AG61" i="24"/>
  <c r="AF17" i="24"/>
  <c r="AG17" i="24"/>
  <c r="AG77" i="24"/>
  <c r="AF77" i="24"/>
  <c r="AF84" i="24"/>
  <c r="AG84" i="24"/>
  <c r="AF80" i="24"/>
  <c r="AG80" i="24"/>
  <c r="AG75" i="24"/>
  <c r="AF75" i="24"/>
  <c r="AF20" i="24"/>
  <c r="AG20" i="24"/>
  <c r="AA26" i="24"/>
  <c r="AB26" i="24" s="1"/>
  <c r="AC26" i="24" s="1"/>
  <c r="AJ26" i="24" s="1"/>
  <c r="AG26" i="24"/>
  <c r="AG45" i="24"/>
  <c r="AF45" i="24"/>
  <c r="AF52" i="24"/>
  <c r="AG52" i="24"/>
  <c r="AG9" i="24"/>
  <c r="AF9" i="24"/>
  <c r="AG35" i="24"/>
  <c r="AN35" i="24" s="1"/>
  <c r="AJ16" i="24"/>
  <c r="AJ17" i="24"/>
  <c r="AG66" i="24"/>
  <c r="AF66" i="24"/>
  <c r="AJ24" i="24"/>
  <c r="AG38" i="24"/>
  <c r="AF38" i="24"/>
  <c r="AJ30" i="24"/>
  <c r="AG103" i="24"/>
  <c r="AF103" i="24"/>
  <c r="AV47" i="24"/>
  <c r="AT47" i="24"/>
  <c r="BA47" i="24" s="1"/>
  <c r="AG90" i="24"/>
  <c r="AF90" i="24"/>
  <c r="AF62" i="24"/>
  <c r="AG62" i="24"/>
  <c r="AG98" i="24"/>
  <c r="AF98" i="24"/>
  <c r="AG44" i="24"/>
  <c r="AF6" i="24"/>
  <c r="AG6" i="24"/>
  <c r="AF7" i="24"/>
  <c r="AG7" i="24"/>
  <c r="AX54" i="24"/>
  <c r="AX72" i="24"/>
  <c r="BT85" i="24"/>
  <c r="AX85" i="24"/>
  <c r="AX82" i="24"/>
  <c r="AX74" i="24"/>
  <c r="AX59" i="24"/>
  <c r="AX96" i="24"/>
  <c r="AX28" i="24"/>
  <c r="AX89" i="24"/>
  <c r="AX79" i="24"/>
  <c r="AX18" i="24"/>
  <c r="AX40" i="24"/>
  <c r="AX19" i="24"/>
  <c r="AX21" i="24"/>
  <c r="AX29" i="24"/>
  <c r="AX46" i="24"/>
  <c r="AU5" i="24"/>
  <c r="BB5" i="24" s="1"/>
  <c r="BT72" i="25"/>
  <c r="CD72" i="25"/>
  <c r="AN110" i="24"/>
  <c r="BT98" i="25"/>
  <c r="CD98" i="25"/>
  <c r="BT58" i="25"/>
  <c r="CD58" i="25"/>
  <c r="BT74" i="25"/>
  <c r="CD74" i="25"/>
  <c r="AW5" i="24"/>
  <c r="AY5" i="24" s="1"/>
  <c r="AZ5" i="24" s="1"/>
  <c r="BF39" i="25"/>
  <c r="CD39" i="25"/>
  <c r="AM110" i="25"/>
  <c r="BV110" i="25" s="1"/>
  <c r="BF84" i="25"/>
  <c r="CD84" i="25"/>
  <c r="BF33" i="25"/>
  <c r="CD33" i="25"/>
  <c r="BT55" i="25"/>
  <c r="CD55" i="25"/>
  <c r="BT75" i="25"/>
  <c r="CD75" i="25"/>
  <c r="BF60" i="25"/>
  <c r="CD60" i="25"/>
  <c r="AS5" i="25"/>
  <c r="AW5" i="25" s="1"/>
  <c r="BF43" i="25"/>
  <c r="CD43" i="25"/>
  <c r="BT53" i="24"/>
  <c r="BH36" i="24"/>
  <c r="BF50" i="25"/>
  <c r="CD50" i="25"/>
  <c r="BT25" i="25"/>
  <c r="CD25" i="25"/>
  <c r="BT65" i="25"/>
  <c r="CD65" i="25"/>
  <c r="AJ5" i="25"/>
  <c r="AM5" i="25"/>
  <c r="BV5" i="25" s="1"/>
  <c r="BF46" i="25"/>
  <c r="CD46" i="25"/>
  <c r="AW40" i="25"/>
  <c r="AW17" i="25"/>
  <c r="L20" i="1"/>
  <c r="AW96" i="25"/>
  <c r="AW28" i="25"/>
  <c r="AW100" i="25"/>
  <c r="AW22" i="25"/>
  <c r="AW54" i="25"/>
  <c r="AW61" i="25"/>
  <c r="AW91" i="25"/>
  <c r="AW14" i="25"/>
  <c r="AW24" i="25"/>
  <c r="AW35" i="25"/>
  <c r="AW76" i="25"/>
  <c r="AW31" i="25"/>
  <c r="AW41" i="25"/>
  <c r="AW12" i="25"/>
  <c r="AW42" i="25"/>
  <c r="AW27" i="25"/>
  <c r="AW88" i="25"/>
  <c r="AW6" i="25"/>
  <c r="AW64" i="25"/>
  <c r="AW87" i="25"/>
  <c r="AW36" i="25"/>
  <c r="AW103" i="25"/>
  <c r="AW63" i="25"/>
  <c r="AW62" i="25"/>
  <c r="AW56" i="25"/>
  <c r="AW68" i="25"/>
  <c r="AW94" i="25"/>
  <c r="AW59" i="25"/>
  <c r="AW9" i="25"/>
  <c r="AW26" i="25"/>
  <c r="AW81" i="25"/>
  <c r="AW30" i="25"/>
  <c r="AW11" i="25"/>
  <c r="AW101" i="25"/>
  <c r="AW47" i="25"/>
  <c r="AW37" i="25"/>
  <c r="AW83" i="25"/>
  <c r="AW51" i="25"/>
  <c r="AW86" i="25"/>
  <c r="AW52" i="25"/>
  <c r="AW8" i="25"/>
  <c r="AW71" i="25"/>
  <c r="AW29" i="25"/>
  <c r="AW79" i="25"/>
  <c r="AW78" i="25"/>
  <c r="AW15" i="25"/>
  <c r="AW53" i="25"/>
  <c r="AW48" i="25"/>
  <c r="AW93" i="25"/>
  <c r="AW97" i="25"/>
  <c r="AW21" i="25"/>
  <c r="AW38" i="25"/>
  <c r="AW20" i="25"/>
  <c r="AW92" i="25"/>
  <c r="AW67" i="25"/>
  <c r="AW70" i="25"/>
  <c r="AW105" i="25"/>
  <c r="B94" i="2" s="1"/>
  <c r="E20" i="1" s="1"/>
  <c r="AW49" i="25"/>
  <c r="AW82" i="25"/>
  <c r="AW69" i="25"/>
  <c r="AW44" i="25"/>
  <c r="AW104" i="25"/>
  <c r="AW13" i="25"/>
  <c r="AW102" i="25"/>
  <c r="BT95" i="25"/>
  <c r="CD95" i="25"/>
  <c r="AP216" i="25"/>
  <c r="AR216" i="25"/>
  <c r="BT80" i="25"/>
  <c r="CD80" i="25"/>
  <c r="BT7" i="25"/>
  <c r="BT18" i="25"/>
  <c r="BF66" i="25"/>
  <c r="BF75" i="25"/>
  <c r="BF72" i="25"/>
  <c r="BT90" i="25"/>
  <c r="BF89" i="25"/>
  <c r="BT33" i="25"/>
  <c r="BF16" i="25"/>
  <c r="BT50" i="25"/>
  <c r="BF58" i="25"/>
  <c r="BT32" i="25"/>
  <c r="BF95" i="25"/>
  <c r="BT39" i="25"/>
  <c r="BT46" i="25"/>
  <c r="BT43" i="25"/>
  <c r="AR206" i="25"/>
  <c r="AP206" i="25"/>
  <c r="AW77" i="25"/>
  <c r="AR193" i="25"/>
  <c r="AP193" i="25"/>
  <c r="AR164" i="25"/>
  <c r="AP164" i="25"/>
  <c r="AR231" i="25"/>
  <c r="AP231" i="25"/>
  <c r="AR27" i="25"/>
  <c r="BG27" i="25"/>
  <c r="BH27" i="25"/>
  <c r="AP27" i="25"/>
  <c r="BT27" i="25"/>
  <c r="BF27" i="25"/>
  <c r="AR73" i="25"/>
  <c r="AT73" i="25" s="1"/>
  <c r="AY73" i="25" s="1"/>
  <c r="BG73" i="25"/>
  <c r="BH73" i="25"/>
  <c r="AP73" i="25"/>
  <c r="AR230" i="25"/>
  <c r="AP230" i="25"/>
  <c r="AR118" i="25"/>
  <c r="AP118" i="25"/>
  <c r="AR8" i="25"/>
  <c r="BG8" i="25"/>
  <c r="BH8" i="25"/>
  <c r="AP8" i="25"/>
  <c r="BT8" i="25"/>
  <c r="BF8" i="25"/>
  <c r="AR40" i="25"/>
  <c r="BG40" i="25"/>
  <c r="BH40" i="25"/>
  <c r="AP40" i="25"/>
  <c r="BF40" i="25"/>
  <c r="BT40" i="25"/>
  <c r="AR125" i="25"/>
  <c r="AP125" i="25"/>
  <c r="AR307" i="25"/>
  <c r="AP307" i="25"/>
  <c r="AR137" i="25"/>
  <c r="AP137" i="25"/>
  <c r="AR247" i="25"/>
  <c r="AP247" i="25"/>
  <c r="AR145" i="25"/>
  <c r="AP145" i="25"/>
  <c r="AR202" i="25"/>
  <c r="AP202" i="25"/>
  <c r="AR267" i="25"/>
  <c r="AP267" i="25"/>
  <c r="AR79" i="25"/>
  <c r="BG79" i="25"/>
  <c r="BH79" i="25"/>
  <c r="AP79" i="25"/>
  <c r="BF79" i="25"/>
  <c r="BT79" i="25"/>
  <c r="AW72" i="25"/>
  <c r="AR285" i="25"/>
  <c r="AP285" i="25"/>
  <c r="AR120" i="25"/>
  <c r="AP120" i="25"/>
  <c r="AR176" i="25"/>
  <c r="AP176" i="25"/>
  <c r="AR271" i="25"/>
  <c r="AP271" i="25"/>
  <c r="AW18" i="25"/>
  <c r="AR229" i="25"/>
  <c r="AP229" i="25"/>
  <c r="AR165" i="25"/>
  <c r="AP165" i="25"/>
  <c r="AR70" i="25"/>
  <c r="BG70" i="25"/>
  <c r="BH70" i="25"/>
  <c r="AP70" i="25"/>
  <c r="BF70" i="25"/>
  <c r="BT70" i="25"/>
  <c r="AR228" i="25"/>
  <c r="AP228" i="25"/>
  <c r="AW73" i="25"/>
  <c r="AR166" i="25"/>
  <c r="AP166" i="25"/>
  <c r="AR196" i="25"/>
  <c r="AP196" i="25"/>
  <c r="AR170" i="25"/>
  <c r="AP170" i="25"/>
  <c r="AR244" i="25"/>
  <c r="AP244" i="25"/>
  <c r="AR143" i="25"/>
  <c r="AP143" i="25"/>
  <c r="AR81" i="25"/>
  <c r="BG81" i="25"/>
  <c r="BH81" i="25"/>
  <c r="AP81" i="25"/>
  <c r="BT81" i="25"/>
  <c r="BF81" i="25"/>
  <c r="AW23" i="25"/>
  <c r="AR257" i="25"/>
  <c r="AP257" i="25"/>
  <c r="AR309" i="25"/>
  <c r="AP309" i="25"/>
  <c r="AR102" i="25"/>
  <c r="BG102" i="25"/>
  <c r="BH102" i="25"/>
  <c r="AP102" i="25"/>
  <c r="BT102" i="25"/>
  <c r="BF102" i="25"/>
  <c r="AR85" i="25"/>
  <c r="AT85" i="25" s="1"/>
  <c r="AY85" i="25" s="1"/>
  <c r="BG85" i="25"/>
  <c r="BH85" i="25"/>
  <c r="AP85" i="25"/>
  <c r="AR98" i="25"/>
  <c r="AT98" i="25" s="1"/>
  <c r="AY98" i="25" s="1"/>
  <c r="BG98" i="25"/>
  <c r="BH98" i="25"/>
  <c r="AP98" i="25"/>
  <c r="AW10" i="25"/>
  <c r="AR204" i="25"/>
  <c r="AP204" i="25"/>
  <c r="AR292" i="25"/>
  <c r="AP292" i="25"/>
  <c r="AR124" i="25"/>
  <c r="AP124" i="25"/>
  <c r="AR238" i="25"/>
  <c r="AP238" i="25"/>
  <c r="AR192" i="25"/>
  <c r="AP192" i="25"/>
  <c r="AR54" i="25"/>
  <c r="BG54" i="25"/>
  <c r="BH54" i="25"/>
  <c r="AP54" i="25"/>
  <c r="BT54" i="25"/>
  <c r="BF54" i="25"/>
  <c r="AR60" i="25"/>
  <c r="AT60" i="25" s="1"/>
  <c r="AY60" i="25" s="1"/>
  <c r="BG60" i="25"/>
  <c r="BH60" i="25"/>
  <c r="AP60" i="25"/>
  <c r="AR169" i="25"/>
  <c r="AP169" i="25"/>
  <c r="AR308" i="25"/>
  <c r="AP308" i="25"/>
  <c r="AR161" i="25"/>
  <c r="AP161" i="25"/>
  <c r="AR177" i="25"/>
  <c r="AP177" i="25"/>
  <c r="AR278" i="25"/>
  <c r="AP278" i="25"/>
  <c r="AR115" i="25"/>
  <c r="AP115" i="25"/>
  <c r="AR258" i="25"/>
  <c r="AP258" i="25"/>
  <c r="AR61" i="25"/>
  <c r="BG61" i="25"/>
  <c r="BH61" i="25"/>
  <c r="AP61" i="25"/>
  <c r="BT61" i="25"/>
  <c r="BF61" i="25"/>
  <c r="AR288" i="25"/>
  <c r="AP288" i="25"/>
  <c r="AR71" i="25"/>
  <c r="BG71" i="25"/>
  <c r="BH71" i="25"/>
  <c r="AP71" i="25"/>
  <c r="BF71" i="25"/>
  <c r="BT71" i="25"/>
  <c r="AW34" i="25"/>
  <c r="AR208" i="25"/>
  <c r="AP208" i="25"/>
  <c r="AR128" i="25"/>
  <c r="AP128" i="25"/>
  <c r="AR84" i="25"/>
  <c r="AT84" i="25" s="1"/>
  <c r="AY84" i="25" s="1"/>
  <c r="BG84" i="25"/>
  <c r="BH84" i="25"/>
  <c r="AP84" i="25"/>
  <c r="AW16" i="25"/>
  <c r="AR29" i="25"/>
  <c r="BG29" i="25"/>
  <c r="BH29" i="25"/>
  <c r="AP29" i="25"/>
  <c r="BF29" i="25"/>
  <c r="BT29" i="25"/>
  <c r="AR217" i="25"/>
  <c r="AP217" i="25"/>
  <c r="BF98" i="25"/>
  <c r="AR38" i="25"/>
  <c r="BG38" i="25"/>
  <c r="BH38" i="25"/>
  <c r="AP38" i="25"/>
  <c r="BT38" i="25"/>
  <c r="BF38" i="25"/>
  <c r="AR55" i="25"/>
  <c r="AT55" i="25" s="1"/>
  <c r="AY55" i="25" s="1"/>
  <c r="BG55" i="25"/>
  <c r="BH55" i="25"/>
  <c r="AP55" i="25"/>
  <c r="AR41" i="25"/>
  <c r="BG41" i="25"/>
  <c r="BH41" i="25"/>
  <c r="AP41" i="25"/>
  <c r="BT41" i="25"/>
  <c r="BF41" i="25"/>
  <c r="AR194" i="25"/>
  <c r="AP194" i="25"/>
  <c r="AR22" i="25"/>
  <c r="BG22" i="25"/>
  <c r="BH22" i="25"/>
  <c r="AP22" i="25"/>
  <c r="BF22" i="25"/>
  <c r="BT22" i="25"/>
  <c r="AR260" i="25"/>
  <c r="AP260" i="25"/>
  <c r="AR74" i="25"/>
  <c r="AT74" i="25" s="1"/>
  <c r="AY74" i="25" s="1"/>
  <c r="BG74" i="25"/>
  <c r="BH74" i="25"/>
  <c r="AP74" i="25"/>
  <c r="AR286" i="25"/>
  <c r="AP286" i="25"/>
  <c r="AR264" i="25"/>
  <c r="AP264" i="25"/>
  <c r="AR155" i="25"/>
  <c r="AP155" i="25"/>
  <c r="AR153" i="25"/>
  <c r="AP153" i="25"/>
  <c r="AR135" i="25"/>
  <c r="AP135" i="25"/>
  <c r="AR242" i="25"/>
  <c r="AP242" i="25"/>
  <c r="AR99" i="25"/>
  <c r="AT99" i="25" s="1"/>
  <c r="AY99" i="25" s="1"/>
  <c r="BG99" i="25"/>
  <c r="BH99" i="25"/>
  <c r="AP99" i="25"/>
  <c r="AR132" i="25"/>
  <c r="AP132" i="25"/>
  <c r="AR111" i="25"/>
  <c r="AP111" i="25"/>
  <c r="AR44" i="25"/>
  <c r="BG44" i="25"/>
  <c r="BH44" i="25"/>
  <c r="AP44" i="25"/>
  <c r="BT44" i="25"/>
  <c r="BF44" i="25"/>
  <c r="AR312" i="25"/>
  <c r="AP312" i="25"/>
  <c r="AR80" i="25"/>
  <c r="AT80" i="25" s="1"/>
  <c r="AY80" i="25" s="1"/>
  <c r="BG80" i="25"/>
  <c r="BH80" i="25"/>
  <c r="AP80" i="25"/>
  <c r="AW32" i="25"/>
  <c r="BF55" i="25"/>
  <c r="AR147" i="25"/>
  <c r="AP147" i="25"/>
  <c r="AR237" i="25"/>
  <c r="AP237" i="25"/>
  <c r="AR225" i="25"/>
  <c r="AP225" i="25"/>
  <c r="AR255" i="25"/>
  <c r="AP255" i="25"/>
  <c r="AR298" i="25"/>
  <c r="AP298" i="25"/>
  <c r="AR82" i="25"/>
  <c r="BG82" i="25"/>
  <c r="BH82" i="25"/>
  <c r="AP82" i="25"/>
  <c r="BT82" i="25"/>
  <c r="BF82" i="25"/>
  <c r="AR30" i="25"/>
  <c r="BG30" i="25"/>
  <c r="BH30" i="25"/>
  <c r="AP30" i="25"/>
  <c r="BT30" i="25"/>
  <c r="BF30" i="25"/>
  <c r="AR88" i="25"/>
  <c r="BG88" i="25"/>
  <c r="BH88" i="25"/>
  <c r="AP88" i="25"/>
  <c r="BF88" i="25"/>
  <c r="BT88" i="25"/>
  <c r="AR201" i="25"/>
  <c r="AP201" i="25"/>
  <c r="AW74" i="25"/>
  <c r="AR306" i="25"/>
  <c r="AP306" i="25"/>
  <c r="AR21" i="25"/>
  <c r="BG21" i="25"/>
  <c r="BH21" i="25"/>
  <c r="AP21" i="25"/>
  <c r="BF21" i="25"/>
  <c r="BT21" i="25"/>
  <c r="AR284" i="25"/>
  <c r="AP284" i="25"/>
  <c r="AR305" i="25"/>
  <c r="AP305" i="25"/>
  <c r="AR236" i="25"/>
  <c r="AP236" i="25"/>
  <c r="AR83" i="25"/>
  <c r="BG83" i="25"/>
  <c r="BH83" i="25"/>
  <c r="AP83" i="25"/>
  <c r="BF83" i="25"/>
  <c r="BT83" i="25"/>
  <c r="AR246" i="25"/>
  <c r="AP246" i="25"/>
  <c r="AR220" i="25"/>
  <c r="AP220" i="25"/>
  <c r="BF99" i="25"/>
  <c r="AW99" i="25"/>
  <c r="AR140" i="25"/>
  <c r="AP140" i="25"/>
  <c r="AR47" i="25"/>
  <c r="BG47" i="25"/>
  <c r="BH47" i="25"/>
  <c r="AP47" i="25"/>
  <c r="BT47" i="25"/>
  <c r="BF47" i="25"/>
  <c r="AR179" i="25"/>
  <c r="AP179" i="25"/>
  <c r="AR195" i="25"/>
  <c r="AP195" i="25"/>
  <c r="AR142" i="25"/>
  <c r="AP142" i="25"/>
  <c r="AW84" i="25"/>
  <c r="AR268" i="25"/>
  <c r="AP268" i="25"/>
  <c r="AR261" i="25"/>
  <c r="AP261" i="25"/>
  <c r="AR37" i="25"/>
  <c r="BG37" i="25"/>
  <c r="BH37" i="25"/>
  <c r="AP37" i="25"/>
  <c r="BT37" i="25"/>
  <c r="BF37" i="25"/>
  <c r="AR25" i="25"/>
  <c r="AT25" i="25" s="1"/>
  <c r="AY25" i="25" s="1"/>
  <c r="BG25" i="25"/>
  <c r="BH25" i="25"/>
  <c r="AP25" i="25"/>
  <c r="AR100" i="25"/>
  <c r="BG100" i="25"/>
  <c r="BH100" i="25"/>
  <c r="AP100" i="25"/>
  <c r="BF100" i="25"/>
  <c r="BT100" i="25"/>
  <c r="AR223" i="25"/>
  <c r="AP223" i="25"/>
  <c r="AR240" i="25"/>
  <c r="AP240" i="25"/>
  <c r="AR297" i="25"/>
  <c r="AP297" i="25"/>
  <c r="AR218" i="25"/>
  <c r="AP218" i="25"/>
  <c r="AR302" i="25"/>
  <c r="AP302" i="25"/>
  <c r="AR141" i="25"/>
  <c r="AP141" i="25"/>
  <c r="AR303" i="25"/>
  <c r="AP303" i="25"/>
  <c r="AW66" i="25"/>
  <c r="AR279" i="25"/>
  <c r="AP279" i="25"/>
  <c r="AR10" i="25"/>
  <c r="AT10" i="25" s="1"/>
  <c r="AY10" i="25" s="1"/>
  <c r="BG10" i="25"/>
  <c r="BH10" i="25"/>
  <c r="AP10" i="25"/>
  <c r="AR67" i="25"/>
  <c r="BG67" i="25"/>
  <c r="BH67" i="25"/>
  <c r="AP67" i="25"/>
  <c r="BT67" i="25"/>
  <c r="BF67" i="25"/>
  <c r="AR90" i="25"/>
  <c r="AT90" i="25" s="1"/>
  <c r="AY90" i="25" s="1"/>
  <c r="BG90" i="25"/>
  <c r="BH90" i="25"/>
  <c r="AP90" i="25"/>
  <c r="AR69" i="25"/>
  <c r="BG69" i="25"/>
  <c r="BH69" i="25"/>
  <c r="AP69" i="25"/>
  <c r="BT69" i="25"/>
  <c r="BF69" i="25"/>
  <c r="AR114" i="25"/>
  <c r="AP114" i="25"/>
  <c r="AR296" i="25"/>
  <c r="AP296" i="25"/>
  <c r="AR105" i="25"/>
  <c r="BG105" i="25"/>
  <c r="BH105" i="25"/>
  <c r="AP105" i="25"/>
  <c r="BF105" i="25"/>
  <c r="BT105" i="25"/>
  <c r="AR149" i="25"/>
  <c r="AP149" i="25"/>
  <c r="AR28" i="25"/>
  <c r="BG28" i="25"/>
  <c r="BH28" i="25"/>
  <c r="AP28" i="25"/>
  <c r="BT28" i="25"/>
  <c r="BF28" i="25"/>
  <c r="AR126" i="25"/>
  <c r="AP126" i="25"/>
  <c r="AR200" i="25"/>
  <c r="AP200" i="25"/>
  <c r="AR18" i="25"/>
  <c r="AT18" i="25" s="1"/>
  <c r="AY18" i="25" s="1"/>
  <c r="BG18" i="25"/>
  <c r="BH18" i="25"/>
  <c r="AP18" i="25"/>
  <c r="AR158" i="25"/>
  <c r="AP158" i="25"/>
  <c r="AR290" i="25"/>
  <c r="AP290" i="25"/>
  <c r="AR295" i="25"/>
  <c r="AP295" i="25"/>
  <c r="AR245" i="25"/>
  <c r="AP245" i="25"/>
  <c r="BF25" i="25"/>
  <c r="AR233" i="25"/>
  <c r="AP233" i="25"/>
  <c r="AR273" i="25"/>
  <c r="AP273" i="25"/>
  <c r="AR313" i="25"/>
  <c r="AP313" i="25"/>
  <c r="AR222" i="25"/>
  <c r="AP222" i="25"/>
  <c r="AR121" i="25"/>
  <c r="AP121" i="25"/>
  <c r="AR131" i="25"/>
  <c r="AP131" i="25"/>
  <c r="AW33" i="25"/>
  <c r="AR139" i="25"/>
  <c r="AP139" i="25"/>
  <c r="AW90" i="25"/>
  <c r="AR180" i="25"/>
  <c r="AP180" i="25"/>
  <c r="AR113" i="25"/>
  <c r="AP113" i="25"/>
  <c r="AR56" i="25"/>
  <c r="BG56" i="25"/>
  <c r="BH56" i="25"/>
  <c r="AP56" i="25"/>
  <c r="BF56" i="25"/>
  <c r="BT56" i="25"/>
  <c r="AR272" i="25"/>
  <c r="AP272" i="25"/>
  <c r="AR14" i="25"/>
  <c r="BG14" i="25"/>
  <c r="BH14" i="25"/>
  <c r="AP14" i="25"/>
  <c r="BF14" i="25"/>
  <c r="BT14" i="25"/>
  <c r="AR93" i="25"/>
  <c r="BG93" i="25"/>
  <c r="BH93" i="25"/>
  <c r="AP93" i="25"/>
  <c r="BF93" i="25"/>
  <c r="BT93" i="25"/>
  <c r="AR269" i="25"/>
  <c r="AP269" i="25"/>
  <c r="AR254" i="25"/>
  <c r="AP254" i="25"/>
  <c r="AR136" i="25"/>
  <c r="AP136" i="25"/>
  <c r="AR138" i="25"/>
  <c r="AP138" i="25"/>
  <c r="AR116" i="25"/>
  <c r="AP116" i="25"/>
  <c r="AR156" i="25"/>
  <c r="AP156" i="25"/>
  <c r="AR224" i="25"/>
  <c r="AP224" i="25"/>
  <c r="AR189" i="25"/>
  <c r="AP189" i="25"/>
  <c r="AR265" i="25"/>
  <c r="AP265" i="25"/>
  <c r="AR91" i="25"/>
  <c r="BG91" i="25"/>
  <c r="BH91" i="25"/>
  <c r="AP91" i="25"/>
  <c r="BT91" i="25"/>
  <c r="BF91" i="25"/>
  <c r="AR304" i="25"/>
  <c r="AP304" i="25"/>
  <c r="AR134" i="25"/>
  <c r="AP134" i="25"/>
  <c r="AR190" i="25"/>
  <c r="AP190" i="25"/>
  <c r="AR68" i="25"/>
  <c r="BG68" i="25"/>
  <c r="BH68" i="25"/>
  <c r="AP68" i="25"/>
  <c r="BT68" i="25"/>
  <c r="BF68" i="25"/>
  <c r="AR199" i="25"/>
  <c r="AP199" i="25"/>
  <c r="AR207" i="25"/>
  <c r="AP207" i="25"/>
  <c r="AR86" i="25"/>
  <c r="BG86" i="25"/>
  <c r="BH86" i="25"/>
  <c r="AP86" i="25"/>
  <c r="BT86" i="25"/>
  <c r="BF86" i="25"/>
  <c r="AR256" i="25"/>
  <c r="AP256" i="25"/>
  <c r="AR281" i="25"/>
  <c r="AP281" i="25"/>
  <c r="AR197" i="25"/>
  <c r="AP197" i="25"/>
  <c r="AR183" i="25"/>
  <c r="AP183" i="25"/>
  <c r="AR274" i="25"/>
  <c r="AP274" i="25"/>
  <c r="AR148" i="25"/>
  <c r="AP148" i="25"/>
  <c r="AR13" i="25"/>
  <c r="BG13" i="25"/>
  <c r="BH13" i="25"/>
  <c r="AP13" i="25"/>
  <c r="BT13" i="25"/>
  <c r="BF13" i="25"/>
  <c r="AR253" i="25"/>
  <c r="AP253" i="25"/>
  <c r="AR24" i="25"/>
  <c r="BG24" i="25"/>
  <c r="BH24" i="25"/>
  <c r="AP24" i="25"/>
  <c r="BT24" i="25"/>
  <c r="BF24" i="25"/>
  <c r="AR289" i="25"/>
  <c r="AP289" i="25"/>
  <c r="AR181" i="25"/>
  <c r="AP181" i="25"/>
  <c r="AR65" i="25"/>
  <c r="AT65" i="25" s="1"/>
  <c r="AY65" i="25" s="1"/>
  <c r="BG65" i="25"/>
  <c r="BH65" i="25"/>
  <c r="AP65" i="25"/>
  <c r="AW80" i="25"/>
  <c r="AR45" i="25"/>
  <c r="AT45" i="25" s="1"/>
  <c r="AY45" i="25" s="1"/>
  <c r="BG45" i="25"/>
  <c r="BH45" i="25"/>
  <c r="AP45" i="25"/>
  <c r="AR234" i="25"/>
  <c r="AP234" i="25"/>
  <c r="AR188" i="25"/>
  <c r="AP188" i="25"/>
  <c r="AR129" i="25"/>
  <c r="AP129" i="25"/>
  <c r="AR314" i="25"/>
  <c r="AP314" i="25"/>
  <c r="AR152" i="25"/>
  <c r="AP152" i="25"/>
  <c r="AR34" i="25"/>
  <c r="AT34" i="25" s="1"/>
  <c r="AY34" i="25" s="1"/>
  <c r="BG34" i="25"/>
  <c r="BH34" i="25"/>
  <c r="AP34" i="25"/>
  <c r="AW45" i="25"/>
  <c r="AW43" i="25"/>
  <c r="AR87" i="25"/>
  <c r="BG87" i="25"/>
  <c r="BH87" i="25"/>
  <c r="AP87" i="25"/>
  <c r="BF87" i="25"/>
  <c r="BT87" i="25"/>
  <c r="AR31" i="25"/>
  <c r="BG31" i="25"/>
  <c r="BH31" i="25"/>
  <c r="AP31" i="25"/>
  <c r="BT31" i="25"/>
  <c r="BF31" i="25"/>
  <c r="AR259" i="25"/>
  <c r="AP259" i="25"/>
  <c r="AR94" i="25"/>
  <c r="BG94" i="25"/>
  <c r="BH94" i="25"/>
  <c r="AP94" i="25"/>
  <c r="BF94" i="25"/>
  <c r="BT94" i="25"/>
  <c r="AR42" i="25"/>
  <c r="BG42" i="25"/>
  <c r="BH42" i="25"/>
  <c r="AP42" i="25"/>
  <c r="BF42" i="25"/>
  <c r="BT42" i="25"/>
  <c r="AR294" i="25"/>
  <c r="AP294" i="25"/>
  <c r="AW85" i="25"/>
  <c r="AR232" i="25"/>
  <c r="AP232" i="25"/>
  <c r="AR77" i="25"/>
  <c r="AT77" i="25" s="1"/>
  <c r="AY77" i="25" s="1"/>
  <c r="BG77" i="25"/>
  <c r="BH77" i="25"/>
  <c r="AP77" i="25"/>
  <c r="AR299" i="25"/>
  <c r="AP299" i="25"/>
  <c r="AR243" i="25"/>
  <c r="AP243" i="25"/>
  <c r="AR226" i="25"/>
  <c r="AP226" i="25"/>
  <c r="AR316" i="25"/>
  <c r="AP316" i="25"/>
  <c r="AR167" i="25"/>
  <c r="AP167" i="25"/>
  <c r="AR283" i="25"/>
  <c r="AP283" i="25"/>
  <c r="AR203" i="25"/>
  <c r="AP203" i="25"/>
  <c r="AR96" i="25"/>
  <c r="BG96" i="25"/>
  <c r="BH96" i="25"/>
  <c r="AP96" i="25"/>
  <c r="BF96" i="25"/>
  <c r="BT96" i="25"/>
  <c r="AR154" i="25"/>
  <c r="AP154" i="25"/>
  <c r="AR19" i="25"/>
  <c r="AT19" i="25" s="1"/>
  <c r="AY19" i="25" s="1"/>
  <c r="BG19" i="25"/>
  <c r="BH19" i="25"/>
  <c r="AP19" i="25"/>
  <c r="AR52" i="25"/>
  <c r="BG52" i="25"/>
  <c r="BH52" i="25"/>
  <c r="AP52" i="25"/>
  <c r="BT52" i="25"/>
  <c r="BF52" i="25"/>
  <c r="BF65" i="25"/>
  <c r="AW50" i="25"/>
  <c r="AR119" i="25"/>
  <c r="AP119" i="25"/>
  <c r="AR101" i="25"/>
  <c r="BG101" i="25"/>
  <c r="BH101" i="25"/>
  <c r="AP101" i="25"/>
  <c r="BT101" i="25"/>
  <c r="BF101" i="25"/>
  <c r="AR144" i="25"/>
  <c r="AP144" i="25"/>
  <c r="AW19" i="25"/>
  <c r="AR263" i="25"/>
  <c r="AP263" i="25"/>
  <c r="AW89" i="25"/>
  <c r="AR239" i="25"/>
  <c r="AP239" i="25"/>
  <c r="AR249" i="25"/>
  <c r="AP249" i="25"/>
  <c r="AR97" i="25"/>
  <c r="BG97" i="25"/>
  <c r="BH97" i="25"/>
  <c r="AP97" i="25"/>
  <c r="BT97" i="25"/>
  <c r="BF97" i="25"/>
  <c r="AR241" i="25"/>
  <c r="AP241" i="25"/>
  <c r="AR287" i="25"/>
  <c r="AP287" i="25"/>
  <c r="AR89" i="25"/>
  <c r="AT89" i="25" s="1"/>
  <c r="AY89" i="25" s="1"/>
  <c r="BG89" i="25"/>
  <c r="BH89" i="25"/>
  <c r="AP89" i="25"/>
  <c r="AR276" i="25"/>
  <c r="AP276" i="25"/>
  <c r="AR184" i="25"/>
  <c r="AP184" i="25"/>
  <c r="BT45" i="25"/>
  <c r="AW98" i="25"/>
  <c r="BT73" i="25"/>
  <c r="AR182" i="25"/>
  <c r="AP182" i="25"/>
  <c r="AR35" i="25"/>
  <c r="BG35" i="25"/>
  <c r="BH35" i="25"/>
  <c r="AP35" i="25"/>
  <c r="BT35" i="25"/>
  <c r="BF35" i="25"/>
  <c r="AR57" i="25"/>
  <c r="AT57" i="25" s="1"/>
  <c r="AY57" i="25" s="1"/>
  <c r="BG57" i="25"/>
  <c r="BH57" i="25"/>
  <c r="AP57" i="25"/>
  <c r="AW46" i="25"/>
  <c r="AR310" i="25"/>
  <c r="AP310" i="25"/>
  <c r="BF57" i="25"/>
  <c r="AR159" i="25"/>
  <c r="AP159" i="25"/>
  <c r="BT60" i="25"/>
  <c r="AR59" i="25"/>
  <c r="BG59" i="25"/>
  <c r="BH59" i="25"/>
  <c r="AP59" i="25"/>
  <c r="BT59" i="25"/>
  <c r="BF59" i="25"/>
  <c r="AR162" i="25"/>
  <c r="AP162" i="25"/>
  <c r="AR275" i="25"/>
  <c r="AP275" i="25"/>
  <c r="AR315" i="25"/>
  <c r="AP315" i="25"/>
  <c r="BT77" i="25"/>
  <c r="BF85" i="25"/>
  <c r="AR219" i="25"/>
  <c r="AP219" i="25"/>
  <c r="AR123" i="25"/>
  <c r="AP123" i="25"/>
  <c r="AR300" i="25"/>
  <c r="AP300" i="25"/>
  <c r="AR33" i="25"/>
  <c r="AT33" i="25" s="1"/>
  <c r="AY33" i="25" s="1"/>
  <c r="BG33" i="25"/>
  <c r="BH33" i="25"/>
  <c r="AP33" i="25"/>
  <c r="AR50" i="25"/>
  <c r="AT50" i="25" s="1"/>
  <c r="AY50" i="25" s="1"/>
  <c r="BG50" i="25"/>
  <c r="BH50" i="25"/>
  <c r="AP50" i="25"/>
  <c r="AR301" i="25"/>
  <c r="AP301" i="25"/>
  <c r="AR63" i="25"/>
  <c r="BG63" i="25"/>
  <c r="BH63" i="25"/>
  <c r="AP63" i="25"/>
  <c r="BF63" i="25"/>
  <c r="BT63" i="25"/>
  <c r="AR146" i="25"/>
  <c r="AP146" i="25"/>
  <c r="AW7" i="25"/>
  <c r="AR262" i="25"/>
  <c r="AP262" i="25"/>
  <c r="AW55" i="25"/>
  <c r="AR205" i="25"/>
  <c r="AP205" i="25"/>
  <c r="AR175" i="25"/>
  <c r="AP175" i="25"/>
  <c r="AR163" i="25"/>
  <c r="AP163" i="25"/>
  <c r="AR172" i="25"/>
  <c r="AP172" i="25"/>
  <c r="AR248" i="25"/>
  <c r="AP248" i="25"/>
  <c r="AR209" i="25"/>
  <c r="AP209" i="25"/>
  <c r="AR48" i="25"/>
  <c r="BG48" i="25"/>
  <c r="BH48" i="25"/>
  <c r="AP48" i="25"/>
  <c r="BF48" i="25"/>
  <c r="BT48" i="25"/>
  <c r="AR235" i="25"/>
  <c r="AP235" i="25"/>
  <c r="BF74" i="25"/>
  <c r="BT99" i="25"/>
  <c r="AW95" i="25"/>
  <c r="AR187" i="25"/>
  <c r="AP187" i="25"/>
  <c r="AR23" i="25"/>
  <c r="AT23" i="25" s="1"/>
  <c r="AY23" i="25" s="1"/>
  <c r="BG23" i="25"/>
  <c r="BH23" i="25"/>
  <c r="AP23" i="25"/>
  <c r="AR46" i="25"/>
  <c r="AT46" i="25" s="1"/>
  <c r="AY46" i="25" s="1"/>
  <c r="BG46" i="25"/>
  <c r="BH46" i="25"/>
  <c r="AP46" i="25"/>
  <c r="AR130" i="25"/>
  <c r="AP130" i="25"/>
  <c r="AR76" i="25"/>
  <c r="BG76" i="25"/>
  <c r="BH76" i="25"/>
  <c r="AP76" i="25"/>
  <c r="BT76" i="25"/>
  <c r="BF76" i="25"/>
  <c r="AR36" i="25"/>
  <c r="BG36" i="25"/>
  <c r="BH36" i="25"/>
  <c r="AP36" i="25"/>
  <c r="BF36" i="25"/>
  <c r="BT36" i="25"/>
  <c r="AW39" i="25"/>
  <c r="BT84" i="25"/>
  <c r="AW75" i="25"/>
  <c r="AW65" i="25"/>
  <c r="AR12" i="25"/>
  <c r="BG12" i="25"/>
  <c r="BH12" i="25"/>
  <c r="AP12" i="25"/>
  <c r="BT12" i="25"/>
  <c r="BF12" i="25"/>
  <c r="BG6" i="25"/>
  <c r="AR6" i="25"/>
  <c r="BH6" i="25"/>
  <c r="AP6" i="25"/>
  <c r="BF6" i="25"/>
  <c r="BT6" i="25"/>
  <c r="AR280" i="25"/>
  <c r="AP280" i="25"/>
  <c r="AR185" i="25"/>
  <c r="AP185" i="25"/>
  <c r="AR62" i="25"/>
  <c r="BG62" i="25"/>
  <c r="BH62" i="25"/>
  <c r="AP62" i="25"/>
  <c r="BT62" i="25"/>
  <c r="BF62" i="25"/>
  <c r="AR227" i="25"/>
  <c r="AP227" i="25"/>
  <c r="AR198" i="25"/>
  <c r="AP198" i="25"/>
  <c r="AR133" i="25"/>
  <c r="AP133" i="25"/>
  <c r="AR43" i="25"/>
  <c r="AT43" i="25" s="1"/>
  <c r="AY43" i="25" s="1"/>
  <c r="BG43" i="25"/>
  <c r="BH43" i="25"/>
  <c r="AP43" i="25"/>
  <c r="AR221" i="25"/>
  <c r="AP221" i="25"/>
  <c r="AR122" i="25"/>
  <c r="AP122" i="25"/>
  <c r="AR168" i="25"/>
  <c r="AP168" i="25"/>
  <c r="BT19" i="25"/>
  <c r="AR11" i="25"/>
  <c r="BG11" i="25"/>
  <c r="BH11" i="25"/>
  <c r="AP11" i="25"/>
  <c r="BT11" i="25"/>
  <c r="BF11" i="25"/>
  <c r="BF80" i="25"/>
  <c r="AR104" i="25"/>
  <c r="BG104" i="25"/>
  <c r="BH104" i="25"/>
  <c r="AP104" i="25"/>
  <c r="BT104" i="25"/>
  <c r="BF104" i="25"/>
  <c r="BG9" i="25"/>
  <c r="AR9" i="25"/>
  <c r="BH9" i="25"/>
  <c r="AP9" i="25"/>
  <c r="BF9" i="25"/>
  <c r="BT9" i="25"/>
  <c r="AR32" i="25"/>
  <c r="AT32" i="25" s="1"/>
  <c r="AY32" i="25" s="1"/>
  <c r="BG32" i="25"/>
  <c r="BH32" i="25"/>
  <c r="AP32" i="25"/>
  <c r="AR92" i="25"/>
  <c r="BG92" i="25"/>
  <c r="BH92" i="25"/>
  <c r="AP92" i="25"/>
  <c r="BF92" i="25"/>
  <c r="BT92" i="25"/>
  <c r="AR277" i="25"/>
  <c r="AP277" i="25"/>
  <c r="AR58" i="25"/>
  <c r="AT58" i="25" s="1"/>
  <c r="AY58" i="25" s="1"/>
  <c r="BG58" i="25"/>
  <c r="BH58" i="25"/>
  <c r="AP58" i="25"/>
  <c r="BT34" i="25"/>
  <c r="AR72" i="25"/>
  <c r="AT72" i="25" s="1"/>
  <c r="AY72" i="25" s="1"/>
  <c r="BG72" i="25"/>
  <c r="BH72" i="25"/>
  <c r="AP72" i="25"/>
  <c r="AR117" i="25"/>
  <c r="AP117" i="25"/>
  <c r="AR160" i="25"/>
  <c r="AP160" i="25"/>
  <c r="AR49" i="25"/>
  <c r="BG49" i="25"/>
  <c r="BH49" i="25"/>
  <c r="AP49" i="25"/>
  <c r="BF49" i="25"/>
  <c r="BT49" i="25"/>
  <c r="AR291" i="25"/>
  <c r="AP291" i="25"/>
  <c r="AR191" i="25"/>
  <c r="AP191" i="25"/>
  <c r="AR150" i="25"/>
  <c r="AP150" i="25"/>
  <c r="AR75" i="25"/>
  <c r="AT75" i="25" s="1"/>
  <c r="AY75" i="25" s="1"/>
  <c r="BG75" i="25"/>
  <c r="BH75" i="25"/>
  <c r="AP75" i="25"/>
  <c r="AR151" i="25"/>
  <c r="AP151" i="25"/>
  <c r="AR266" i="25"/>
  <c r="AP266" i="25"/>
  <c r="AR171" i="25"/>
  <c r="AP171" i="25"/>
  <c r="AR95" i="25"/>
  <c r="AT95" i="25" s="1"/>
  <c r="AY95" i="25" s="1"/>
  <c r="BG95" i="25"/>
  <c r="BH95" i="25"/>
  <c r="AP95" i="25"/>
  <c r="AR112" i="25"/>
  <c r="AP112" i="25"/>
  <c r="AR7" i="25"/>
  <c r="AT7" i="25" s="1"/>
  <c r="AY7" i="25" s="1"/>
  <c r="BG7" i="25"/>
  <c r="BH7" i="25"/>
  <c r="AP7" i="25"/>
  <c r="AR51" i="25"/>
  <c r="BG51" i="25"/>
  <c r="BH51" i="25"/>
  <c r="AP51" i="25"/>
  <c r="BT51" i="25"/>
  <c r="BF51" i="25"/>
  <c r="AR270" i="25"/>
  <c r="AP270" i="25"/>
  <c r="AR282" i="25"/>
  <c r="AP282" i="25"/>
  <c r="AR186" i="25"/>
  <c r="AP186" i="25"/>
  <c r="BF45" i="25"/>
  <c r="AR64" i="25"/>
  <c r="BG64" i="25"/>
  <c r="BH64" i="25"/>
  <c r="AP64" i="25"/>
  <c r="BT64" i="25"/>
  <c r="BF64" i="25"/>
  <c r="AW25" i="25"/>
  <c r="BF73" i="25"/>
  <c r="AR252" i="25"/>
  <c r="AP252" i="25"/>
  <c r="AR16" i="25"/>
  <c r="AT16" i="25" s="1"/>
  <c r="AY16" i="25" s="1"/>
  <c r="BG16" i="25"/>
  <c r="BH16" i="25"/>
  <c r="AP16" i="25"/>
  <c r="AR251" i="25"/>
  <c r="AP251" i="25"/>
  <c r="AR20" i="25"/>
  <c r="BG20" i="25"/>
  <c r="BH20" i="25"/>
  <c r="AP20" i="25"/>
  <c r="BT20" i="25"/>
  <c r="BF20" i="25"/>
  <c r="AR39" i="25"/>
  <c r="AT39" i="25" s="1"/>
  <c r="AY39" i="25" s="1"/>
  <c r="BG39" i="25"/>
  <c r="BH39" i="25"/>
  <c r="AP39" i="25"/>
  <c r="AR53" i="25"/>
  <c r="BG53" i="25"/>
  <c r="BH53" i="25"/>
  <c r="AP53" i="25"/>
  <c r="BT53" i="25"/>
  <c r="BF53" i="25"/>
  <c r="AR78" i="25"/>
  <c r="BG78" i="25"/>
  <c r="BH78" i="25"/>
  <c r="AP78" i="25"/>
  <c r="BF78" i="25"/>
  <c r="BT78" i="25"/>
  <c r="AR250" i="25"/>
  <c r="AP250" i="25"/>
  <c r="AR66" i="25"/>
  <c r="AT66" i="25" s="1"/>
  <c r="AY66" i="25" s="1"/>
  <c r="BG66" i="25"/>
  <c r="BH66" i="25"/>
  <c r="AP66" i="25"/>
  <c r="AR17" i="25"/>
  <c r="BG17" i="25"/>
  <c r="BH17" i="25"/>
  <c r="AP17" i="25"/>
  <c r="BT17" i="25"/>
  <c r="BF17" i="25"/>
  <c r="AW58" i="25"/>
  <c r="BF23" i="25"/>
  <c r="AR178" i="25"/>
  <c r="AP178" i="25"/>
  <c r="AR210" i="25"/>
  <c r="AP210" i="25"/>
  <c r="AR15" i="25"/>
  <c r="BG15" i="25"/>
  <c r="BH15" i="25"/>
  <c r="AP15" i="25"/>
  <c r="BF15" i="25"/>
  <c r="BT15" i="25"/>
  <c r="AR157" i="25"/>
  <c r="AP157" i="25"/>
  <c r="AW57" i="25"/>
  <c r="AR103" i="25"/>
  <c r="BG103" i="25"/>
  <c r="BH103" i="25"/>
  <c r="AP103" i="25"/>
  <c r="BT103" i="25"/>
  <c r="BF103" i="25"/>
  <c r="AR311" i="25"/>
  <c r="AP311" i="25"/>
  <c r="AW60" i="25"/>
  <c r="AR173" i="25"/>
  <c r="AP173" i="25"/>
  <c r="AR26" i="25"/>
  <c r="BG26" i="25"/>
  <c r="BH26" i="25"/>
  <c r="AP26" i="25"/>
  <c r="BF26" i="25"/>
  <c r="BT26" i="25"/>
  <c r="AR127" i="25"/>
  <c r="AP127" i="25"/>
  <c r="AR293" i="25"/>
  <c r="AP293" i="25"/>
  <c r="BT10" i="25"/>
  <c r="AR174" i="25"/>
  <c r="AP174" i="25"/>
  <c r="BT19" i="24"/>
  <c r="BT36" i="24"/>
  <c r="BT40" i="24"/>
  <c r="BT18" i="24"/>
  <c r="BH82" i="24"/>
  <c r="BT82" i="24"/>
  <c r="BH68" i="24"/>
  <c r="BT68" i="24"/>
  <c r="BH83" i="24"/>
  <c r="BT83" i="24"/>
  <c r="BH89" i="24"/>
  <c r="BT89" i="24"/>
  <c r="BH79" i="24"/>
  <c r="BT79" i="24"/>
  <c r="BH32" i="24"/>
  <c r="BT32" i="24"/>
  <c r="BH56" i="24"/>
  <c r="BT56" i="24"/>
  <c r="BH63" i="24"/>
  <c r="BT63" i="24"/>
  <c r="BH29" i="24"/>
  <c r="BT29" i="24"/>
  <c r="BT46" i="24"/>
  <c r="BH74" i="24"/>
  <c r="BT74" i="24"/>
  <c r="BH59" i="24"/>
  <c r="BT59" i="24"/>
  <c r="BH96" i="24"/>
  <c r="BT96" i="24"/>
  <c r="BH31" i="24"/>
  <c r="BT31" i="24"/>
  <c r="BH100" i="24"/>
  <c r="BT100" i="24"/>
  <c r="BH54" i="24"/>
  <c r="BT54" i="24"/>
  <c r="BH92" i="24"/>
  <c r="BT92" i="24"/>
  <c r="BH72" i="24"/>
  <c r="BT72" i="24"/>
  <c r="BH42" i="24"/>
  <c r="BT42" i="24"/>
  <c r="BT21" i="24"/>
  <c r="BT28" i="24"/>
  <c r="BH85" i="24"/>
  <c r="AS40" i="24"/>
  <c r="BI32" i="24"/>
  <c r="AS32" i="24"/>
  <c r="AW32" i="24" s="1"/>
  <c r="AY32" i="24" s="1"/>
  <c r="AZ32" i="24" s="1"/>
  <c r="BJ32" i="24"/>
  <c r="AQ40" i="24"/>
  <c r="BI40" i="24"/>
  <c r="BJ40" i="24"/>
  <c r="AQ32" i="24"/>
  <c r="AS201" i="24"/>
  <c r="AQ201" i="24"/>
  <c r="AS202" i="24"/>
  <c r="AQ202" i="24"/>
  <c r="CD208" i="24"/>
  <c r="AS200" i="24"/>
  <c r="CD200" i="24"/>
  <c r="AS197" i="24"/>
  <c r="AQ197" i="24"/>
  <c r="AS185" i="24"/>
  <c r="AQ185" i="24"/>
  <c r="AS183" i="24"/>
  <c r="AQ183" i="24"/>
  <c r="AS187" i="24"/>
  <c r="AQ187" i="24"/>
  <c r="AS190" i="24"/>
  <c r="AQ190" i="24"/>
  <c r="BH18" i="24"/>
  <c r="BI53" i="24"/>
  <c r="BH53" i="24"/>
  <c r="BJ56" i="24"/>
  <c r="BI56" i="24"/>
  <c r="BJ63" i="24"/>
  <c r="BI63" i="24"/>
  <c r="BJ29" i="24"/>
  <c r="BI29" i="24"/>
  <c r="BJ100" i="24"/>
  <c r="BI100" i="24"/>
  <c r="BJ36" i="24"/>
  <c r="BI36" i="24"/>
  <c r="BJ54" i="24"/>
  <c r="BI54" i="24"/>
  <c r="BJ92" i="24"/>
  <c r="BI92" i="24"/>
  <c r="BJ72" i="24"/>
  <c r="BI72" i="24"/>
  <c r="BJ85" i="24"/>
  <c r="BI85" i="24"/>
  <c r="BJ42" i="24"/>
  <c r="BI42" i="24"/>
  <c r="BJ82" i="24"/>
  <c r="BI82" i="24"/>
  <c r="BJ74" i="24"/>
  <c r="BI74" i="24"/>
  <c r="BJ68" i="24"/>
  <c r="BI68" i="24"/>
  <c r="BJ59" i="24"/>
  <c r="BI59" i="24"/>
  <c r="BJ96" i="24"/>
  <c r="BI96" i="24"/>
  <c r="BJ83" i="24"/>
  <c r="BI83" i="24"/>
  <c r="BJ28" i="24"/>
  <c r="BI28" i="24"/>
  <c r="BJ89" i="24"/>
  <c r="BI89" i="24"/>
  <c r="BJ21" i="24"/>
  <c r="BI21" i="24"/>
  <c r="BJ46" i="24"/>
  <c r="BI46" i="24"/>
  <c r="BJ79" i="24"/>
  <c r="BI79" i="24"/>
  <c r="BJ19" i="24"/>
  <c r="BI19" i="24"/>
  <c r="BJ31" i="24"/>
  <c r="BI31" i="24"/>
  <c r="AQ18" i="24"/>
  <c r="BJ18" i="24"/>
  <c r="AS53" i="24"/>
  <c r="AW53" i="24" s="1"/>
  <c r="AY53" i="24" s="1"/>
  <c r="AZ53" i="24" s="1"/>
  <c r="BJ53" i="24"/>
  <c r="AS18" i="24"/>
  <c r="AQ53" i="24"/>
  <c r="AQ100" i="24"/>
  <c r="AS100" i="24"/>
  <c r="AQ36" i="24"/>
  <c r="AS36" i="24"/>
  <c r="AQ257" i="24"/>
  <c r="AS257" i="24"/>
  <c r="AQ304" i="24"/>
  <c r="AS304" i="24"/>
  <c r="AQ249" i="24"/>
  <c r="AS249" i="24"/>
  <c r="AQ310" i="24"/>
  <c r="AS310" i="24"/>
  <c r="AQ288" i="24"/>
  <c r="AS288" i="24"/>
  <c r="AQ248" i="24"/>
  <c r="AS248" i="24"/>
  <c r="AQ247" i="24"/>
  <c r="AS247" i="24"/>
  <c r="AQ245" i="24"/>
  <c r="AS245" i="24"/>
  <c r="AQ126" i="24"/>
  <c r="AS126" i="24"/>
  <c r="AQ164" i="24"/>
  <c r="AS164" i="24"/>
  <c r="AQ142" i="24"/>
  <c r="AS142" i="24"/>
  <c r="AQ135" i="24"/>
  <c r="AS135" i="24"/>
  <c r="AQ137" i="24"/>
  <c r="AS137" i="24"/>
  <c r="AQ179" i="24"/>
  <c r="AS179" i="24"/>
  <c r="AQ85" i="24"/>
  <c r="AS85" i="24"/>
  <c r="AQ42" i="24"/>
  <c r="AS42" i="24"/>
  <c r="AQ230" i="24"/>
  <c r="AS230" i="24"/>
  <c r="AQ280" i="24"/>
  <c r="AS280" i="24"/>
  <c r="AQ240" i="24"/>
  <c r="AS240" i="24"/>
  <c r="AQ276" i="24"/>
  <c r="AS276" i="24"/>
  <c r="AQ219" i="24"/>
  <c r="AS219" i="24"/>
  <c r="AQ271" i="24"/>
  <c r="AS271" i="24"/>
  <c r="AQ282" i="24"/>
  <c r="AS282" i="24"/>
  <c r="AQ220" i="24"/>
  <c r="AS220" i="24"/>
  <c r="AQ243" i="24"/>
  <c r="AS243" i="24"/>
  <c r="AQ275" i="24"/>
  <c r="AS275" i="24"/>
  <c r="AQ270" i="24"/>
  <c r="AS270" i="24"/>
  <c r="AQ235" i="24"/>
  <c r="AS235" i="24"/>
  <c r="AQ221" i="24"/>
  <c r="AS221" i="24"/>
  <c r="AQ59" i="24"/>
  <c r="AS59" i="24"/>
  <c r="AQ96" i="24"/>
  <c r="AS96" i="24"/>
  <c r="AQ173" i="24"/>
  <c r="AS173" i="24"/>
  <c r="AQ120" i="24"/>
  <c r="AS120" i="24"/>
  <c r="AQ138" i="24"/>
  <c r="AS138" i="24"/>
  <c r="AQ127" i="24"/>
  <c r="AS127" i="24"/>
  <c r="AQ178" i="24"/>
  <c r="AS178" i="24"/>
  <c r="AQ28" i="24"/>
  <c r="AS28" i="24"/>
  <c r="AQ89" i="24"/>
  <c r="AS89" i="24"/>
  <c r="AQ21" i="24"/>
  <c r="AS21" i="24"/>
  <c r="AQ268" i="24"/>
  <c r="AS268" i="24"/>
  <c r="AQ254" i="24"/>
  <c r="AS254" i="24"/>
  <c r="AQ299" i="24"/>
  <c r="AS299" i="24"/>
  <c r="AQ293" i="24"/>
  <c r="AS293" i="24"/>
  <c r="AQ251" i="24"/>
  <c r="AS251" i="24"/>
  <c r="AQ294" i="24"/>
  <c r="AS294" i="24"/>
  <c r="AQ229" i="24"/>
  <c r="AS229" i="24"/>
  <c r="AQ252" i="24"/>
  <c r="AS252" i="24"/>
  <c r="AQ273" i="24"/>
  <c r="AS273" i="24"/>
  <c r="AQ244" i="24"/>
  <c r="AS244" i="24"/>
  <c r="AQ253" i="24"/>
  <c r="AS253" i="24"/>
  <c r="AQ259" i="24"/>
  <c r="AS259" i="24"/>
  <c r="AQ279" i="24"/>
  <c r="AS279" i="24"/>
  <c r="AQ274" i="24"/>
  <c r="AS274" i="24"/>
  <c r="AQ267" i="24"/>
  <c r="AS267" i="24"/>
  <c r="AQ246" i="24"/>
  <c r="AS246" i="24"/>
  <c r="AQ223" i="24"/>
  <c r="AS223" i="24"/>
  <c r="AQ216" i="24"/>
  <c r="AS216" i="24"/>
  <c r="AQ222" i="24"/>
  <c r="AS222" i="24"/>
  <c r="AQ46" i="24"/>
  <c r="AS46" i="24"/>
  <c r="AQ139" i="24"/>
  <c r="AS139" i="24"/>
  <c r="AQ148" i="24"/>
  <c r="AS148" i="24"/>
  <c r="AQ300" i="24"/>
  <c r="AS300" i="24"/>
  <c r="AQ79" i="24"/>
  <c r="AS79" i="24"/>
  <c r="AQ171" i="24"/>
  <c r="AS171" i="24"/>
  <c r="AQ145" i="24"/>
  <c r="AS145" i="24"/>
  <c r="AQ19" i="24"/>
  <c r="AS19" i="24"/>
  <c r="AQ31" i="24"/>
  <c r="AS31" i="24"/>
  <c r="AQ283" i="24"/>
  <c r="AS283" i="24"/>
  <c r="AQ301" i="24"/>
  <c r="AS301" i="24"/>
  <c r="AQ314" i="24"/>
  <c r="AS314" i="24"/>
  <c r="AQ261" i="24"/>
  <c r="AS261" i="24"/>
  <c r="AQ297" i="24"/>
  <c r="AS297" i="24"/>
  <c r="AQ302" i="24"/>
  <c r="AS302" i="24"/>
  <c r="AQ54" i="24"/>
  <c r="AS54" i="24"/>
  <c r="AQ92" i="24"/>
  <c r="AS92" i="24"/>
  <c r="AQ140" i="24"/>
  <c r="AS140" i="24"/>
  <c r="AQ125" i="24"/>
  <c r="AS125" i="24"/>
  <c r="AQ111" i="24"/>
  <c r="AS111" i="24"/>
  <c r="AQ72" i="24"/>
  <c r="AS72" i="24"/>
  <c r="AQ143" i="24"/>
  <c r="AS143" i="24"/>
  <c r="AQ175" i="24"/>
  <c r="AS175" i="24"/>
  <c r="AQ154" i="24"/>
  <c r="AS154" i="24"/>
  <c r="AQ290" i="24"/>
  <c r="AS290" i="24"/>
  <c r="AQ303" i="24"/>
  <c r="AS303" i="24"/>
  <c r="AQ286" i="24"/>
  <c r="AS286" i="24"/>
  <c r="AQ218" i="24"/>
  <c r="AS218" i="24"/>
  <c r="AQ228" i="24"/>
  <c r="AS228" i="24"/>
  <c r="AQ258" i="24"/>
  <c r="AS258" i="24"/>
  <c r="AQ285" i="24"/>
  <c r="AS285" i="24"/>
  <c r="AQ316" i="24"/>
  <c r="AS316" i="24"/>
  <c r="AQ82" i="24"/>
  <c r="AS82" i="24"/>
  <c r="AQ74" i="24"/>
  <c r="AS74" i="24"/>
  <c r="AQ68" i="24"/>
  <c r="AS68" i="24"/>
  <c r="AQ160" i="24"/>
  <c r="AS160" i="24"/>
  <c r="AQ121" i="24"/>
  <c r="AS121" i="24"/>
  <c r="AQ118" i="24"/>
  <c r="AS118" i="24"/>
  <c r="AQ113" i="24"/>
  <c r="AS113" i="24"/>
  <c r="AQ124" i="24"/>
  <c r="AS124" i="24"/>
  <c r="AQ144" i="24"/>
  <c r="AS144" i="24"/>
  <c r="AQ83" i="24"/>
  <c r="AS83" i="24"/>
  <c r="AQ56" i="24"/>
  <c r="AS56" i="24"/>
  <c r="AQ272" i="24"/>
  <c r="AS272" i="24"/>
  <c r="AQ277" i="24"/>
  <c r="AS277" i="24"/>
  <c r="AQ281" i="24"/>
  <c r="AS281" i="24"/>
  <c r="AQ239" i="24"/>
  <c r="AS239" i="24"/>
  <c r="AQ309" i="24"/>
  <c r="AS309" i="24"/>
  <c r="AQ234" i="24"/>
  <c r="AS234" i="24"/>
  <c r="AQ241" i="24"/>
  <c r="AS241" i="24"/>
  <c r="AQ227" i="24"/>
  <c r="AS227" i="24"/>
  <c r="AQ298" i="24"/>
  <c r="AS298" i="24"/>
  <c r="AQ287" i="24"/>
  <c r="AS287" i="24"/>
  <c r="AQ233" i="24"/>
  <c r="AS233" i="24"/>
  <c r="AQ256" i="24"/>
  <c r="AS256" i="24"/>
  <c r="AQ236" i="24"/>
  <c r="AS236" i="24"/>
  <c r="AQ266" i="24"/>
  <c r="AS266" i="24"/>
  <c r="AQ313" i="24"/>
  <c r="AS313" i="24"/>
  <c r="AQ307" i="24"/>
  <c r="AS307" i="24"/>
  <c r="AQ250" i="24"/>
  <c r="AS250" i="24"/>
  <c r="AQ264" i="24"/>
  <c r="AS264" i="24"/>
  <c r="AQ224" i="24"/>
  <c r="AS224" i="24"/>
  <c r="AQ315" i="24"/>
  <c r="AS315" i="24"/>
  <c r="AQ63" i="24"/>
  <c r="AS63" i="24"/>
  <c r="AQ292" i="24"/>
  <c r="AS292" i="24"/>
  <c r="AQ158" i="24"/>
  <c r="AS158" i="24"/>
  <c r="AQ153" i="24"/>
  <c r="AS153" i="24"/>
  <c r="AQ129" i="24"/>
  <c r="AS129" i="24"/>
  <c r="AQ116" i="24"/>
  <c r="AS116" i="24"/>
  <c r="AQ177" i="24"/>
  <c r="AS177" i="24"/>
  <c r="AQ151" i="24"/>
  <c r="AS151" i="24"/>
  <c r="AQ180" i="24"/>
  <c r="AS180" i="24"/>
  <c r="AQ29" i="24"/>
  <c r="AS29" i="24"/>
  <c r="BH35" i="24" l="1"/>
  <c r="CD35" i="24"/>
  <c r="BT122" i="24"/>
  <c r="CD122" i="24"/>
  <c r="BH110" i="25"/>
  <c r="BG110" i="25"/>
  <c r="BT110" i="25"/>
  <c r="BF110" i="25"/>
  <c r="AX172" i="24"/>
  <c r="AX123" i="24"/>
  <c r="BT115" i="24"/>
  <c r="AX181" i="24"/>
  <c r="BT155" i="24"/>
  <c r="AX195" i="24"/>
  <c r="BT157" i="24"/>
  <c r="AX208" i="24"/>
  <c r="BV210" i="24"/>
  <c r="BV195" i="24"/>
  <c r="AX157" i="24"/>
  <c r="AX115" i="24"/>
  <c r="BV122" i="24"/>
  <c r="BT123" i="24"/>
  <c r="BH181" i="24"/>
  <c r="BT210" i="24"/>
  <c r="BH208" i="24"/>
  <c r="AQ136" i="24"/>
  <c r="BI136" i="24"/>
  <c r="BJ136" i="24"/>
  <c r="CD196" i="24"/>
  <c r="BJ196" i="24"/>
  <c r="BI196" i="24"/>
  <c r="BH196" i="24"/>
  <c r="BV196" i="24"/>
  <c r="BT196" i="24"/>
  <c r="AX196" i="24"/>
  <c r="CD204" i="24"/>
  <c r="BJ204" i="24"/>
  <c r="BI204" i="24"/>
  <c r="BH204" i="24"/>
  <c r="BT204" i="24"/>
  <c r="BV204" i="24"/>
  <c r="AX204" i="24"/>
  <c r="CD198" i="24"/>
  <c r="BI198" i="24"/>
  <c r="BJ198" i="24"/>
  <c r="BV198" i="24"/>
  <c r="BT198" i="24"/>
  <c r="BH198" i="24"/>
  <c r="AX198" i="24"/>
  <c r="CD170" i="24"/>
  <c r="BI170" i="24"/>
  <c r="BJ170" i="24"/>
  <c r="BV170" i="24"/>
  <c r="BT170" i="24"/>
  <c r="BH170" i="24"/>
  <c r="AX170" i="24"/>
  <c r="CD189" i="24"/>
  <c r="BI189" i="24"/>
  <c r="BJ189" i="24"/>
  <c r="AX189" i="24"/>
  <c r="BV189" i="24"/>
  <c r="BT189" i="24"/>
  <c r="BH189" i="24"/>
  <c r="CD132" i="24"/>
  <c r="BJ132" i="24"/>
  <c r="BI132" i="24"/>
  <c r="BT132" i="24"/>
  <c r="BV132" i="24"/>
  <c r="BH132" i="24"/>
  <c r="AX132" i="24"/>
  <c r="BT136" i="24"/>
  <c r="BH136" i="24"/>
  <c r="CD163" i="24"/>
  <c r="BJ163" i="24"/>
  <c r="BI163" i="24"/>
  <c r="BT163" i="24"/>
  <c r="BV163" i="24"/>
  <c r="AX163" i="24"/>
  <c r="BH163" i="24"/>
  <c r="CD131" i="24"/>
  <c r="BI131" i="24"/>
  <c r="BJ131" i="24"/>
  <c r="BT131" i="24"/>
  <c r="BV131" i="24"/>
  <c r="AX131" i="24"/>
  <c r="BH131" i="24"/>
  <c r="CD186" i="24"/>
  <c r="BI186" i="24"/>
  <c r="BJ186" i="24"/>
  <c r="BV186" i="24"/>
  <c r="BT186" i="24"/>
  <c r="BH186" i="24"/>
  <c r="AX186" i="24"/>
  <c r="CD112" i="24"/>
  <c r="BI112" i="24"/>
  <c r="BJ112" i="24"/>
  <c r="AQ184" i="24"/>
  <c r="BI184" i="24"/>
  <c r="BJ184" i="24"/>
  <c r="BV184" i="24"/>
  <c r="BT184" i="24"/>
  <c r="BH184" i="24"/>
  <c r="AX184" i="24"/>
  <c r="CD174" i="24"/>
  <c r="BI174" i="24"/>
  <c r="BJ174" i="24"/>
  <c r="BT174" i="24"/>
  <c r="AX174" i="24"/>
  <c r="BV174" i="24"/>
  <c r="BH174" i="24"/>
  <c r="CD156" i="24"/>
  <c r="BI156" i="24"/>
  <c r="BJ156" i="24"/>
  <c r="BT156" i="24"/>
  <c r="BV156" i="24"/>
  <c r="BH156" i="24"/>
  <c r="AX156" i="24"/>
  <c r="CD117" i="24"/>
  <c r="BI117" i="24"/>
  <c r="BJ117" i="24"/>
  <c r="AX117" i="24"/>
  <c r="BT117" i="24"/>
  <c r="BH117" i="24"/>
  <c r="BV117" i="24"/>
  <c r="CD176" i="24"/>
  <c r="BI176" i="24"/>
  <c r="BJ176" i="24"/>
  <c r="BH176" i="24"/>
  <c r="BT176" i="24"/>
  <c r="BV176" i="24"/>
  <c r="AX176" i="24"/>
  <c r="AQ114" i="24"/>
  <c r="BI114" i="24"/>
  <c r="BJ114" i="24"/>
  <c r="BV114" i="24"/>
  <c r="AX114" i="24"/>
  <c r="BH114" i="24"/>
  <c r="BT114" i="24"/>
  <c r="CD130" i="24"/>
  <c r="BI130" i="24"/>
  <c r="BJ130" i="24"/>
  <c r="AX130" i="24"/>
  <c r="BV130" i="24"/>
  <c r="BH130" i="24"/>
  <c r="BT130" i="24"/>
  <c r="AS167" i="24"/>
  <c r="AU167" i="24" s="1"/>
  <c r="BI167" i="24"/>
  <c r="BJ167" i="24"/>
  <c r="BV167" i="24"/>
  <c r="BH167" i="24"/>
  <c r="BT167" i="24"/>
  <c r="AX167" i="24"/>
  <c r="CD159" i="24"/>
  <c r="BJ159" i="24"/>
  <c r="BI159" i="24"/>
  <c r="BT159" i="24"/>
  <c r="BV159" i="24"/>
  <c r="BH159" i="24"/>
  <c r="AX159" i="24"/>
  <c r="BI146" i="24"/>
  <c r="BJ146" i="24"/>
  <c r="BV146" i="24"/>
  <c r="AX146" i="24"/>
  <c r="BH146" i="24"/>
  <c r="BT146" i="24"/>
  <c r="CD128" i="24"/>
  <c r="BI128" i="24"/>
  <c r="BJ128" i="24"/>
  <c r="BV128" i="24"/>
  <c r="BT128" i="24"/>
  <c r="BH128" i="24"/>
  <c r="AX128" i="24"/>
  <c r="CD152" i="24"/>
  <c r="BJ152" i="24"/>
  <c r="BI152" i="24"/>
  <c r="BV152" i="24"/>
  <c r="BH152" i="24"/>
  <c r="BT152" i="24"/>
  <c r="AX152" i="24"/>
  <c r="CD165" i="24"/>
  <c r="BJ165" i="24"/>
  <c r="BI165" i="24"/>
  <c r="BT165" i="24"/>
  <c r="AX165" i="24"/>
  <c r="BV165" i="24"/>
  <c r="BH165" i="24"/>
  <c r="BV136" i="24"/>
  <c r="AS165" i="24"/>
  <c r="AU165" i="24" s="1"/>
  <c r="BI110" i="24"/>
  <c r="BJ110" i="24"/>
  <c r="BT110" i="24"/>
  <c r="AX110" i="24"/>
  <c r="BV110" i="24"/>
  <c r="BH110" i="24"/>
  <c r="CD123" i="24"/>
  <c r="BI123" i="24"/>
  <c r="BJ123" i="24"/>
  <c r="CD194" i="24"/>
  <c r="BI194" i="24"/>
  <c r="BJ194" i="24"/>
  <c r="BT194" i="24"/>
  <c r="BV194" i="24"/>
  <c r="BH194" i="24"/>
  <c r="AX194" i="24"/>
  <c r="BI169" i="24"/>
  <c r="BJ169" i="24"/>
  <c r="CD207" i="24"/>
  <c r="BI207" i="24"/>
  <c r="BJ207" i="24"/>
  <c r="CD172" i="24"/>
  <c r="BJ172" i="24"/>
  <c r="BI172" i="24"/>
  <c r="CD192" i="24"/>
  <c r="BI192" i="24"/>
  <c r="BJ192" i="24"/>
  <c r="BV192" i="24"/>
  <c r="AX192" i="24"/>
  <c r="BH192" i="24"/>
  <c r="BT192" i="24"/>
  <c r="CD199" i="24"/>
  <c r="BI199" i="24"/>
  <c r="BJ199" i="24"/>
  <c r="BT199" i="24"/>
  <c r="BH199" i="24"/>
  <c r="BV199" i="24"/>
  <c r="AX199" i="24"/>
  <c r="CD157" i="24"/>
  <c r="BJ157" i="24"/>
  <c r="BI157" i="24"/>
  <c r="CD141" i="24"/>
  <c r="BI141" i="24"/>
  <c r="BJ141" i="24"/>
  <c r="AX141" i="24"/>
  <c r="BT141" i="24"/>
  <c r="BV141" i="24"/>
  <c r="BH141" i="24"/>
  <c r="CD188" i="24"/>
  <c r="BJ188" i="24"/>
  <c r="BI188" i="24"/>
  <c r="BH188" i="24"/>
  <c r="BT188" i="24"/>
  <c r="BV188" i="24"/>
  <c r="AX188" i="24"/>
  <c r="CD209" i="24"/>
  <c r="BI209" i="24"/>
  <c r="BJ209" i="24"/>
  <c r="BH209" i="24"/>
  <c r="BT209" i="24"/>
  <c r="BV209" i="24"/>
  <c r="AX209" i="24"/>
  <c r="AS133" i="24"/>
  <c r="AU133" i="24" s="1"/>
  <c r="BI133" i="24"/>
  <c r="BJ133" i="24"/>
  <c r="AX133" i="24"/>
  <c r="BT133" i="24"/>
  <c r="BH133" i="24"/>
  <c r="BV133" i="24"/>
  <c r="CD206" i="24"/>
  <c r="BI206" i="24"/>
  <c r="BJ206" i="24"/>
  <c r="BV206" i="24"/>
  <c r="BT206" i="24"/>
  <c r="AX206" i="24"/>
  <c r="BH206" i="24"/>
  <c r="AS166" i="24"/>
  <c r="AU166" i="24" s="1"/>
  <c r="BI166" i="24"/>
  <c r="BJ166" i="24"/>
  <c r="BT166" i="24"/>
  <c r="BH166" i="24"/>
  <c r="BV166" i="24"/>
  <c r="AX166" i="24"/>
  <c r="AQ191" i="24"/>
  <c r="BI191" i="24"/>
  <c r="BJ191" i="24"/>
  <c r="BT191" i="24"/>
  <c r="BV191" i="24"/>
  <c r="BH191" i="24"/>
  <c r="AX191" i="24"/>
  <c r="AX207" i="24"/>
  <c r="BV112" i="24"/>
  <c r="BH112" i="24"/>
  <c r="BV172" i="24"/>
  <c r="BH169" i="24"/>
  <c r="BT169" i="24"/>
  <c r="CD134" i="24"/>
  <c r="BJ134" i="24"/>
  <c r="BI134" i="24"/>
  <c r="BT134" i="24"/>
  <c r="BH134" i="24"/>
  <c r="AX134" i="24"/>
  <c r="BV134" i="24"/>
  <c r="AQ161" i="24"/>
  <c r="BJ161" i="24"/>
  <c r="BI161" i="24"/>
  <c r="AX161" i="24"/>
  <c r="BT161" i="24"/>
  <c r="BH161" i="24"/>
  <c r="BV161" i="24"/>
  <c r="BI168" i="24"/>
  <c r="BJ168" i="24"/>
  <c r="BH168" i="24"/>
  <c r="BT168" i="24"/>
  <c r="BV168" i="24"/>
  <c r="AX168" i="24"/>
  <c r="CD147" i="24"/>
  <c r="BJ147" i="24"/>
  <c r="BI147" i="24"/>
  <c r="BT147" i="24"/>
  <c r="BV147" i="24"/>
  <c r="AX147" i="24"/>
  <c r="BH147" i="24"/>
  <c r="CD182" i="24"/>
  <c r="BI182" i="24"/>
  <c r="BJ182" i="24"/>
  <c r="BT182" i="24"/>
  <c r="BV182" i="24"/>
  <c r="AX182" i="24"/>
  <c r="BH182" i="24"/>
  <c r="BJ155" i="24"/>
  <c r="BI155" i="24"/>
  <c r="CD149" i="24"/>
  <c r="BJ149" i="24"/>
  <c r="BI149" i="24"/>
  <c r="BT149" i="24"/>
  <c r="AX149" i="24"/>
  <c r="BV149" i="24"/>
  <c r="BH149" i="24"/>
  <c r="AS115" i="24"/>
  <c r="AU115" i="24" s="1"/>
  <c r="BI115" i="24"/>
  <c r="BJ115" i="24"/>
  <c r="CD210" i="24"/>
  <c r="BI210" i="24"/>
  <c r="BJ210" i="24"/>
  <c r="BI203" i="24"/>
  <c r="BJ203" i="24"/>
  <c r="BV203" i="24"/>
  <c r="BH203" i="24"/>
  <c r="BT203" i="24"/>
  <c r="AX203" i="24"/>
  <c r="CD205" i="24"/>
  <c r="BI205" i="24"/>
  <c r="BJ205" i="24"/>
  <c r="AX205" i="24"/>
  <c r="BT205" i="24"/>
  <c r="BV205" i="24"/>
  <c r="BH205" i="24"/>
  <c r="BI181" i="24"/>
  <c r="BJ181" i="24"/>
  <c r="AQ208" i="24"/>
  <c r="BI208" i="24"/>
  <c r="BJ208" i="24"/>
  <c r="CD119" i="24"/>
  <c r="BI119" i="24"/>
  <c r="BJ119" i="24"/>
  <c r="BT119" i="24"/>
  <c r="AX119" i="24"/>
  <c r="BV119" i="24"/>
  <c r="BH119" i="24"/>
  <c r="AQ162" i="24"/>
  <c r="BI162" i="24"/>
  <c r="BJ162" i="24"/>
  <c r="BV162" i="24"/>
  <c r="BH162" i="24"/>
  <c r="AX162" i="24"/>
  <c r="BT162" i="24"/>
  <c r="CD195" i="24"/>
  <c r="BI195" i="24"/>
  <c r="BJ195" i="24"/>
  <c r="CD150" i="24"/>
  <c r="BI150" i="24"/>
  <c r="BJ150" i="24"/>
  <c r="BT150" i="24"/>
  <c r="BH150" i="24"/>
  <c r="BV150" i="24"/>
  <c r="AX150" i="24"/>
  <c r="AS122" i="24"/>
  <c r="AW122" i="24" s="1"/>
  <c r="BI122" i="24"/>
  <c r="BJ122" i="24"/>
  <c r="CD193" i="24"/>
  <c r="BI193" i="24"/>
  <c r="BJ193" i="24"/>
  <c r="AX193" i="24"/>
  <c r="BV193" i="24"/>
  <c r="BH193" i="24"/>
  <c r="BT193" i="24"/>
  <c r="BH207" i="24"/>
  <c r="BT207" i="24"/>
  <c r="BH210" i="24"/>
  <c r="AX155" i="24"/>
  <c r="BV155" i="24"/>
  <c r="AX112" i="24"/>
  <c r="BT112" i="24"/>
  <c r="BT195" i="24"/>
  <c r="BH157" i="24"/>
  <c r="BH115" i="24"/>
  <c r="BT172" i="24"/>
  <c r="AX122" i="24"/>
  <c r="BH122" i="24"/>
  <c r="BH123" i="24"/>
  <c r="BT208" i="24"/>
  <c r="BV181" i="24"/>
  <c r="BV169" i="24"/>
  <c r="AX136" i="24"/>
  <c r="AQ152" i="24"/>
  <c r="BV55" i="24"/>
  <c r="AV7" i="24"/>
  <c r="AX50" i="24"/>
  <c r="BV50" i="24"/>
  <c r="AX87" i="24"/>
  <c r="BV87" i="24"/>
  <c r="AV48" i="24"/>
  <c r="AV81" i="24"/>
  <c r="BV81" i="24"/>
  <c r="BH70" i="24"/>
  <c r="BV70" i="24"/>
  <c r="AS152" i="24"/>
  <c r="AW152" i="24" s="1"/>
  <c r="AV20" i="24"/>
  <c r="AX91" i="24"/>
  <c r="BV91" i="24"/>
  <c r="BH27" i="24"/>
  <c r="BV27" i="24"/>
  <c r="AX105" i="24"/>
  <c r="BV105" i="24"/>
  <c r="BT101" i="24"/>
  <c r="BV101" i="24"/>
  <c r="AV38" i="24"/>
  <c r="AV62" i="24"/>
  <c r="AV39" i="24"/>
  <c r="AV77" i="24"/>
  <c r="AV76" i="24"/>
  <c r="BV97" i="24"/>
  <c r="BV43" i="24"/>
  <c r="BV64" i="24"/>
  <c r="BV33" i="24"/>
  <c r="AX86" i="24"/>
  <c r="BV86" i="24"/>
  <c r="BT14" i="24"/>
  <c r="BV14" i="24"/>
  <c r="AV57" i="24"/>
  <c r="AV90" i="24"/>
  <c r="AV44" i="24"/>
  <c r="AV84" i="24"/>
  <c r="AV93" i="24"/>
  <c r="AT103" i="24"/>
  <c r="BA103" i="24" s="1"/>
  <c r="BV34" i="24"/>
  <c r="AV22" i="24"/>
  <c r="BV22" i="24"/>
  <c r="AX69" i="24"/>
  <c r="BV69" i="24"/>
  <c r="AX23" i="24"/>
  <c r="BV23" i="24"/>
  <c r="AX95" i="24"/>
  <c r="BV95" i="24"/>
  <c r="AT52" i="24"/>
  <c r="BA52" i="24" s="1"/>
  <c r="AV45" i="24"/>
  <c r="AV80" i="24"/>
  <c r="AV71" i="24"/>
  <c r="BH10" i="24"/>
  <c r="BV10" i="24"/>
  <c r="AT66" i="24"/>
  <c r="BA66" i="24" s="1"/>
  <c r="AT67" i="24"/>
  <c r="BA67" i="24" s="1"/>
  <c r="AX25" i="24"/>
  <c r="BV25" i="24"/>
  <c r="AV98" i="24"/>
  <c r="AV75" i="24"/>
  <c r="AX78" i="24"/>
  <c r="BV78" i="24"/>
  <c r="BV35" i="24"/>
  <c r="BV41" i="24"/>
  <c r="BV65" i="24"/>
  <c r="AU58" i="25"/>
  <c r="BC58" i="25" s="1"/>
  <c r="BS58" i="25" s="1"/>
  <c r="AQ193" i="24"/>
  <c r="AS278" i="24"/>
  <c r="AW278" i="24" s="1"/>
  <c r="BH78" i="24"/>
  <c r="AQ278" i="24"/>
  <c r="AQ182" i="24"/>
  <c r="AV103" i="24"/>
  <c r="BI78" i="24"/>
  <c r="BT78" i="24"/>
  <c r="AS182" i="24"/>
  <c r="AU182" i="24" s="1"/>
  <c r="AS78" i="24"/>
  <c r="AW78" i="24" s="1"/>
  <c r="AY78" i="24" s="1"/>
  <c r="AS305" i="24"/>
  <c r="AU305" i="24" s="1"/>
  <c r="AQ70" i="24"/>
  <c r="BI70" i="24"/>
  <c r="BJ70" i="24"/>
  <c r="BT70" i="24"/>
  <c r="AX70" i="24"/>
  <c r="AS70" i="24"/>
  <c r="AW70" i="24" s="1"/>
  <c r="AY70" i="24" s="1"/>
  <c r="AS193" i="24"/>
  <c r="AU193" i="24" s="1"/>
  <c r="AQ78" i="24"/>
  <c r="BJ78" i="24"/>
  <c r="AQ237" i="24"/>
  <c r="AS203" i="24"/>
  <c r="AU203" i="24" s="1"/>
  <c r="CD203" i="24"/>
  <c r="AQ155" i="24"/>
  <c r="CD155" i="24"/>
  <c r="BH51" i="24"/>
  <c r="CD51" i="24"/>
  <c r="AQ128" i="24"/>
  <c r="AX73" i="24"/>
  <c r="CD73" i="24"/>
  <c r="AQ168" i="24"/>
  <c r="CD168" i="24"/>
  <c r="AQ146" i="24"/>
  <c r="CD146" i="24"/>
  <c r="AS260" i="24"/>
  <c r="AU260" i="24" s="1"/>
  <c r="CD260" i="24"/>
  <c r="AS289" i="24"/>
  <c r="AU289" i="24" s="1"/>
  <c r="CD289" i="24"/>
  <c r="AX60" i="24"/>
  <c r="CD60" i="24"/>
  <c r="AS238" i="24"/>
  <c r="AU238" i="24" s="1"/>
  <c r="AS128" i="24"/>
  <c r="AW128" i="24" s="1"/>
  <c r="AS132" i="24"/>
  <c r="AW132" i="24" s="1"/>
  <c r="AQ132" i="24"/>
  <c r="AS191" i="24"/>
  <c r="AU191" i="24" s="1"/>
  <c r="BT25" i="24"/>
  <c r="AT75" i="24"/>
  <c r="BA75" i="24" s="1"/>
  <c r="AQ25" i="24"/>
  <c r="AS73" i="24"/>
  <c r="AU73" i="24" s="1"/>
  <c r="BB73" i="24" s="1"/>
  <c r="AQ265" i="24"/>
  <c r="AS311" i="24"/>
  <c r="AU311" i="24" s="1"/>
  <c r="AS217" i="24"/>
  <c r="AW217" i="24" s="1"/>
  <c r="AT76" i="24"/>
  <c r="BA76" i="24" s="1"/>
  <c r="AS255" i="24"/>
  <c r="AW255" i="24" s="1"/>
  <c r="AQ166" i="24"/>
  <c r="AQ262" i="24"/>
  <c r="BH55" i="24"/>
  <c r="AS159" i="24"/>
  <c r="AU159" i="24" s="1"/>
  <c r="BT73" i="24"/>
  <c r="AQ117" i="24"/>
  <c r="AS312" i="24"/>
  <c r="AU312" i="24" s="1"/>
  <c r="AS176" i="24"/>
  <c r="AU176" i="24" s="1"/>
  <c r="AS114" i="24"/>
  <c r="AU114" i="24" s="1"/>
  <c r="AS146" i="24"/>
  <c r="AW146" i="24" s="1"/>
  <c r="BJ55" i="24"/>
  <c r="AQ207" i="24"/>
  <c r="AQ133" i="24"/>
  <c r="AS189" i="24"/>
  <c r="AU189" i="24" s="1"/>
  <c r="AX81" i="24"/>
  <c r="AT81" i="24"/>
  <c r="BA81" i="24" s="1"/>
  <c r="AQ55" i="24"/>
  <c r="AQ291" i="24"/>
  <c r="AQ289" i="24"/>
  <c r="BI73" i="24"/>
  <c r="BJ25" i="24"/>
  <c r="AQ189" i="24"/>
  <c r="BH33" i="24"/>
  <c r="AQ255" i="24"/>
  <c r="BI33" i="24"/>
  <c r="AX55" i="24"/>
  <c r="AX22" i="24"/>
  <c r="AS33" i="24"/>
  <c r="AU33" i="24" s="1"/>
  <c r="BB33" i="24" s="1"/>
  <c r="AS291" i="24"/>
  <c r="AU291" i="24" s="1"/>
  <c r="BJ33" i="24"/>
  <c r="AS55" i="24"/>
  <c r="AW55" i="24" s="1"/>
  <c r="AY55" i="24" s="1"/>
  <c r="AQ33" i="24"/>
  <c r="BI55" i="24"/>
  <c r="BT33" i="24"/>
  <c r="AS181" i="24"/>
  <c r="AU181" i="24" s="1"/>
  <c r="CD181" i="24"/>
  <c r="AQ130" i="24"/>
  <c r="AQ122" i="24"/>
  <c r="AS295" i="24"/>
  <c r="AU295" i="24" s="1"/>
  <c r="AQ73" i="24"/>
  <c r="AS242" i="24"/>
  <c r="AU242" i="24" s="1"/>
  <c r="BH73" i="24"/>
  <c r="AQ306" i="24"/>
  <c r="CD306" i="24"/>
  <c r="AQ217" i="24"/>
  <c r="AQ167" i="24"/>
  <c r="AS147" i="24"/>
  <c r="AW147" i="24" s="1"/>
  <c r="BJ73" i="24"/>
  <c r="AV67" i="24"/>
  <c r="AT93" i="24"/>
  <c r="BA93" i="24" s="1"/>
  <c r="AQ147" i="24"/>
  <c r="AV66" i="24"/>
  <c r="AS168" i="24"/>
  <c r="AU168" i="24" s="1"/>
  <c r="AS170" i="24"/>
  <c r="AW170" i="24" s="1"/>
  <c r="AQ263" i="24"/>
  <c r="AQ269" i="24"/>
  <c r="AQ159" i="24"/>
  <c r="AQ176" i="24"/>
  <c r="AT98" i="24"/>
  <c r="BA98" i="24" s="1"/>
  <c r="BH25" i="24"/>
  <c r="AS25" i="24"/>
  <c r="AW25" i="24" s="1"/>
  <c r="AY25" i="24" s="1"/>
  <c r="AZ25" i="24" s="1"/>
  <c r="AQ170" i="24"/>
  <c r="AS130" i="24"/>
  <c r="AU130" i="24" s="1"/>
  <c r="BI25" i="24"/>
  <c r="AT84" i="24"/>
  <c r="BA84" i="24" s="1"/>
  <c r="AT90" i="24"/>
  <c r="BA90" i="24" s="1"/>
  <c r="AT44" i="24"/>
  <c r="BA44" i="24" s="1"/>
  <c r="AS265" i="24"/>
  <c r="AU265" i="24" s="1"/>
  <c r="AS226" i="24"/>
  <c r="AW226" i="24" s="1"/>
  <c r="AQ296" i="24"/>
  <c r="AQ231" i="24"/>
  <c r="AS188" i="24"/>
  <c r="AU188" i="24" s="1"/>
  <c r="AT38" i="24"/>
  <c r="BA38" i="24" s="1"/>
  <c r="AT39" i="24"/>
  <c r="BA39" i="24" s="1"/>
  <c r="AQ206" i="24"/>
  <c r="AQ181" i="24"/>
  <c r="AS206" i="24"/>
  <c r="AU206" i="24" s="1"/>
  <c r="AQ209" i="24"/>
  <c r="AT62" i="24"/>
  <c r="BA62" i="24" s="1"/>
  <c r="AT77" i="24"/>
  <c r="BA77" i="24" s="1"/>
  <c r="BJ23" i="24"/>
  <c r="AS150" i="24"/>
  <c r="AW150" i="24" s="1"/>
  <c r="AQ150" i="24"/>
  <c r="AS308" i="24"/>
  <c r="AW308" i="24" s="1"/>
  <c r="AQ10" i="24"/>
  <c r="AQ198" i="24"/>
  <c r="AS232" i="24"/>
  <c r="AU232" i="24" s="1"/>
  <c r="BJ10" i="24"/>
  <c r="AS204" i="24"/>
  <c r="AW204" i="24" s="1"/>
  <c r="AS198" i="24"/>
  <c r="AW198" i="24" s="1"/>
  <c r="AS156" i="24"/>
  <c r="AU156" i="24" s="1"/>
  <c r="AS117" i="24"/>
  <c r="AW117" i="24" s="1"/>
  <c r="AS225" i="24"/>
  <c r="AU225" i="24" s="1"/>
  <c r="AS195" i="24"/>
  <c r="AU195" i="24" s="1"/>
  <c r="AS284" i="24"/>
  <c r="AU284" i="24" s="1"/>
  <c r="AS162" i="24"/>
  <c r="AW162" i="24" s="1"/>
  <c r="AQ186" i="24"/>
  <c r="AQ156" i="24"/>
  <c r="AQ195" i="24"/>
  <c r="AQ196" i="24"/>
  <c r="AQ204" i="24"/>
  <c r="AS174" i="24"/>
  <c r="AW174" i="24" s="1"/>
  <c r="AS306" i="24"/>
  <c r="AU306" i="24" s="1"/>
  <c r="AT48" i="24"/>
  <c r="BA48" i="24" s="1"/>
  <c r="AQ169" i="24"/>
  <c r="CD169" i="24"/>
  <c r="AT71" i="24"/>
  <c r="BA71" i="24" s="1"/>
  <c r="AS10" i="24"/>
  <c r="AW10" i="24" s="1"/>
  <c r="AY10" i="24" s="1"/>
  <c r="AQ97" i="24"/>
  <c r="BI10" i="24"/>
  <c r="BH23" i="24"/>
  <c r="AQ188" i="24"/>
  <c r="BT10" i="24"/>
  <c r="AX10" i="24"/>
  <c r="AQ141" i="24"/>
  <c r="AQ192" i="24"/>
  <c r="AS209" i="24"/>
  <c r="AU209" i="24" s="1"/>
  <c r="AU40" i="24"/>
  <c r="BB40" i="24" s="1"/>
  <c r="AT80" i="24"/>
  <c r="BA80" i="24" s="1"/>
  <c r="AK71" i="24"/>
  <c r="AQ205" i="24"/>
  <c r="AQ149" i="24"/>
  <c r="AQ210" i="24"/>
  <c r="BJ51" i="24"/>
  <c r="AQ174" i="24"/>
  <c r="AV52" i="24"/>
  <c r="AQ101" i="24"/>
  <c r="AS119" i="24"/>
  <c r="AU119" i="24" s="1"/>
  <c r="AT57" i="24"/>
  <c r="BA57" i="24" s="1"/>
  <c r="AQ112" i="24"/>
  <c r="AQ172" i="24"/>
  <c r="AQ95" i="24"/>
  <c r="AQ199" i="24"/>
  <c r="AQ105" i="24"/>
  <c r="AT45" i="24"/>
  <c r="BA45" i="24" s="1"/>
  <c r="BJ95" i="24"/>
  <c r="BT51" i="24"/>
  <c r="AQ51" i="24"/>
  <c r="BI14" i="24"/>
  <c r="AS184" i="24"/>
  <c r="AW184" i="24" s="1"/>
  <c r="AQ203" i="24"/>
  <c r="AS136" i="24"/>
  <c r="AU136" i="24" s="1"/>
  <c r="AS51" i="24"/>
  <c r="AU51" i="24" s="1"/>
  <c r="BB51" i="24" s="1"/>
  <c r="BI51" i="24"/>
  <c r="AS205" i="24"/>
  <c r="AW205" i="24" s="1"/>
  <c r="AQ119" i="24"/>
  <c r="BJ50" i="24"/>
  <c r="AS208" i="24"/>
  <c r="AU208" i="24" s="1"/>
  <c r="AX51" i="24"/>
  <c r="BT95" i="24"/>
  <c r="BH95" i="24"/>
  <c r="AS112" i="24"/>
  <c r="AU112" i="24" s="1"/>
  <c r="AS141" i="24"/>
  <c r="AU141" i="24" s="1"/>
  <c r="AS95" i="24"/>
  <c r="AW95" i="24" s="1"/>
  <c r="AY95" i="24" s="1"/>
  <c r="BI95" i="24"/>
  <c r="BI60" i="24"/>
  <c r="BH60" i="24"/>
  <c r="AS60" i="24"/>
  <c r="AW60" i="24" s="1"/>
  <c r="AY60" i="24" s="1"/>
  <c r="AQ60" i="24"/>
  <c r="AQ23" i="24"/>
  <c r="AS196" i="24"/>
  <c r="AW196" i="24" s="1"/>
  <c r="BT60" i="24"/>
  <c r="AS23" i="24"/>
  <c r="AU23" i="24" s="1"/>
  <c r="BB23" i="24" s="1"/>
  <c r="BJ60" i="24"/>
  <c r="BI23" i="24"/>
  <c r="BT23" i="24"/>
  <c r="BH101" i="24"/>
  <c r="AX101" i="24"/>
  <c r="BJ101" i="24"/>
  <c r="AS157" i="24"/>
  <c r="AW157" i="24" s="1"/>
  <c r="AS101" i="24"/>
  <c r="AW101" i="24" s="1"/>
  <c r="AY101" i="24" s="1"/>
  <c r="AQ157" i="24"/>
  <c r="AS131" i="24"/>
  <c r="AW131" i="24" s="1"/>
  <c r="BI101" i="24"/>
  <c r="AS186" i="24"/>
  <c r="AW186" i="24" s="1"/>
  <c r="AS199" i="24"/>
  <c r="AU199" i="24" s="1"/>
  <c r="AS192" i="24"/>
  <c r="AU192" i="24" s="1"/>
  <c r="BT105" i="24"/>
  <c r="AS110" i="24"/>
  <c r="AU110" i="24" s="1"/>
  <c r="CD110" i="24"/>
  <c r="AS105" i="24"/>
  <c r="AW105" i="24" s="1"/>
  <c r="AY105" i="24" s="1"/>
  <c r="BJ27" i="24"/>
  <c r="AX41" i="24"/>
  <c r="AS163" i="24"/>
  <c r="AW163" i="24" s="1"/>
  <c r="AS41" i="24"/>
  <c r="AW41" i="24" s="1"/>
  <c r="AY41" i="24" s="1"/>
  <c r="AX97" i="24"/>
  <c r="BI97" i="24"/>
  <c r="AW104" i="24"/>
  <c r="AY104" i="24" s="1"/>
  <c r="AZ104" i="24" s="1"/>
  <c r="AQ163" i="24"/>
  <c r="AS123" i="24"/>
  <c r="AU123" i="24" s="1"/>
  <c r="BI41" i="24"/>
  <c r="BJ105" i="24"/>
  <c r="BT97" i="24"/>
  <c r="AQ27" i="24"/>
  <c r="BJ41" i="24"/>
  <c r="BI105" i="24"/>
  <c r="BT41" i="24"/>
  <c r="BH105" i="24"/>
  <c r="BH97" i="24"/>
  <c r="AQ41" i="24"/>
  <c r="AS97" i="24"/>
  <c r="AU97" i="24" s="1"/>
  <c r="BB97" i="24" s="1"/>
  <c r="BJ97" i="24"/>
  <c r="AS149" i="24"/>
  <c r="AU149" i="24" s="1"/>
  <c r="AQ115" i="24"/>
  <c r="BJ87" i="24"/>
  <c r="AS210" i="24"/>
  <c r="AU210" i="24" s="1"/>
  <c r="BH14" i="24"/>
  <c r="AX14" i="24"/>
  <c r="BJ14" i="24"/>
  <c r="BT87" i="24"/>
  <c r="BH50" i="24"/>
  <c r="AQ50" i="24"/>
  <c r="AS161" i="24"/>
  <c r="AU161" i="24" s="1"/>
  <c r="AS14" i="24"/>
  <c r="AW14" i="24" s="1"/>
  <c r="AY14" i="24" s="1"/>
  <c r="AQ87" i="24"/>
  <c r="AQ14" i="24"/>
  <c r="AS172" i="24"/>
  <c r="AU172" i="24" s="1"/>
  <c r="AS155" i="24"/>
  <c r="AU155" i="24" s="1"/>
  <c r="AQ131" i="24"/>
  <c r="BH86" i="24"/>
  <c r="AK34" i="24"/>
  <c r="AQ65" i="24"/>
  <c r="BT65" i="24"/>
  <c r="AS207" i="24"/>
  <c r="AW207" i="24" s="1"/>
  <c r="BI64" i="24"/>
  <c r="BJ65" i="24"/>
  <c r="BH65" i="24"/>
  <c r="AQ86" i="24"/>
  <c r="AS64" i="24"/>
  <c r="AU64" i="24" s="1"/>
  <c r="BB64" i="24" s="1"/>
  <c r="BJ86" i="24"/>
  <c r="AK65" i="24"/>
  <c r="AS134" i="24"/>
  <c r="AU134" i="24" s="1"/>
  <c r="AS43" i="24"/>
  <c r="AU43" i="24" s="1"/>
  <c r="BB43" i="24" s="1"/>
  <c r="BI27" i="24"/>
  <c r="AS194" i="24"/>
  <c r="AU194" i="24" s="1"/>
  <c r="BT43" i="24"/>
  <c r="AX27" i="24"/>
  <c r="AN88" i="24"/>
  <c r="AS27" i="24"/>
  <c r="AU27" i="24" s="1"/>
  <c r="BB27" i="24" s="1"/>
  <c r="AS91" i="24"/>
  <c r="AW91" i="24" s="1"/>
  <c r="AY91" i="24" s="1"/>
  <c r="AS169" i="24"/>
  <c r="AU169" i="24" s="1"/>
  <c r="BI43" i="24"/>
  <c r="BI91" i="24"/>
  <c r="BH91" i="24"/>
  <c r="BT27" i="24"/>
  <c r="AS50" i="24"/>
  <c r="AW50" i="24" s="1"/>
  <c r="AY50" i="24" s="1"/>
  <c r="AZ50" i="24" s="1"/>
  <c r="AS86" i="24"/>
  <c r="AU86" i="24" s="1"/>
  <c r="BB86" i="24" s="1"/>
  <c r="AQ64" i="24"/>
  <c r="BI87" i="24"/>
  <c r="BI86" i="24"/>
  <c r="AS65" i="24"/>
  <c r="AU65" i="24" s="1"/>
  <c r="BB65" i="24" s="1"/>
  <c r="BH87" i="24"/>
  <c r="BT86" i="24"/>
  <c r="AX65" i="24"/>
  <c r="AX64" i="24"/>
  <c r="AN71" i="24"/>
  <c r="BJ71" i="24" s="1"/>
  <c r="AS87" i="24"/>
  <c r="AW87" i="24" s="1"/>
  <c r="AY87" i="24" s="1"/>
  <c r="BJ64" i="24"/>
  <c r="BI50" i="24"/>
  <c r="BT64" i="24"/>
  <c r="BT50" i="24"/>
  <c r="AQ91" i="24"/>
  <c r="AQ134" i="24"/>
  <c r="AQ123" i="24"/>
  <c r="BJ91" i="24"/>
  <c r="BT91" i="24"/>
  <c r="AQ194" i="24"/>
  <c r="AN13" i="24"/>
  <c r="AS81" i="24"/>
  <c r="AS22" i="24"/>
  <c r="BJ69" i="24"/>
  <c r="AT20" i="24"/>
  <c r="BA20" i="24" s="1"/>
  <c r="AN49" i="24"/>
  <c r="BV49" i="24" s="1"/>
  <c r="AR110" i="25"/>
  <c r="AT110" i="25" s="1"/>
  <c r="AY110" i="25" s="1"/>
  <c r="CD110" i="25"/>
  <c r="AQ81" i="24"/>
  <c r="BJ43" i="24"/>
  <c r="AS69" i="24"/>
  <c r="AW69" i="24" s="1"/>
  <c r="AY69" i="24" s="1"/>
  <c r="BH22" i="24"/>
  <c r="BH43" i="24"/>
  <c r="AT7" i="24"/>
  <c r="BA7" i="24" s="1"/>
  <c r="AN15" i="24"/>
  <c r="AQ43" i="24"/>
  <c r="BI13" i="24"/>
  <c r="BI22" i="24"/>
  <c r="AS34" i="24"/>
  <c r="AW34" i="24" s="1"/>
  <c r="AY34" i="24" s="1"/>
  <c r="AZ34" i="24" s="1"/>
  <c r="AK81" i="24"/>
  <c r="BI81" i="24"/>
  <c r="AQ22" i="24"/>
  <c r="BI69" i="24"/>
  <c r="BT69" i="24"/>
  <c r="AT22" i="24"/>
  <c r="BA22" i="24" s="1"/>
  <c r="BJ81" i="24"/>
  <c r="BJ22" i="24"/>
  <c r="AQ69" i="24"/>
  <c r="BT22" i="24"/>
  <c r="BT81" i="24"/>
  <c r="BH69" i="24"/>
  <c r="BH81" i="24"/>
  <c r="AK22" i="24"/>
  <c r="AN48" i="24"/>
  <c r="BV48" i="24" s="1"/>
  <c r="AK48" i="24"/>
  <c r="AK102" i="24"/>
  <c r="AN102" i="24"/>
  <c r="AK93" i="24"/>
  <c r="AN93" i="24"/>
  <c r="CD93" i="24" s="1"/>
  <c r="AQ34" i="24"/>
  <c r="BI34" i="24"/>
  <c r="BJ34" i="24"/>
  <c r="BT34" i="24"/>
  <c r="BH34" i="24"/>
  <c r="AV12" i="24"/>
  <c r="AT12" i="24"/>
  <c r="BA12" i="24" s="1"/>
  <c r="BD5" i="24"/>
  <c r="BG5" i="24" s="1"/>
  <c r="BL5" i="24" s="1"/>
  <c r="BM5" i="24" s="1"/>
  <c r="AN8" i="24"/>
  <c r="BV8" i="24" s="1"/>
  <c r="AK8" i="24"/>
  <c r="AK94" i="24"/>
  <c r="AN94" i="24"/>
  <c r="CD94" i="24" s="1"/>
  <c r="AK37" i="24"/>
  <c r="AN37" i="24"/>
  <c r="BV37" i="24" s="1"/>
  <c r="AV94" i="24"/>
  <c r="AT94" i="24"/>
  <c r="BA94" i="24" s="1"/>
  <c r="AV9" i="24"/>
  <c r="AT9" i="24"/>
  <c r="BA9" i="24" s="1"/>
  <c r="BJ35" i="24"/>
  <c r="AK35" i="24"/>
  <c r="AK98" i="24"/>
  <c r="AN98" i="24"/>
  <c r="BV98" i="24" s="1"/>
  <c r="AK90" i="24"/>
  <c r="AN90" i="24"/>
  <c r="CD90" i="24" s="1"/>
  <c r="AK103" i="24"/>
  <c r="AN103" i="24"/>
  <c r="AQ103" i="24" s="1"/>
  <c r="AV24" i="24"/>
  <c r="AT24" i="24"/>
  <c r="BA24" i="24" s="1"/>
  <c r="AV16" i="24"/>
  <c r="AT16" i="24"/>
  <c r="BA16" i="24" s="1"/>
  <c r="AK52" i="24"/>
  <c r="AN52" i="24"/>
  <c r="BV52" i="24" s="1"/>
  <c r="AN84" i="24"/>
  <c r="AK84" i="24"/>
  <c r="AN61" i="24"/>
  <c r="AK61" i="24"/>
  <c r="AK99" i="24"/>
  <c r="AN99" i="24"/>
  <c r="AK39" i="24"/>
  <c r="AN39" i="24"/>
  <c r="BV39" i="24" s="1"/>
  <c r="AN11" i="24"/>
  <c r="BV11" i="24" s="1"/>
  <c r="AK11" i="24"/>
  <c r="AK77" i="24"/>
  <c r="AN77" i="24"/>
  <c r="CD77" i="24" s="1"/>
  <c r="AN58" i="24"/>
  <c r="AK58" i="24"/>
  <c r="AS35" i="24"/>
  <c r="AU35" i="24" s="1"/>
  <c r="BB35" i="24" s="1"/>
  <c r="BT35" i="24"/>
  <c r="AX35" i="24"/>
  <c r="AN44" i="24"/>
  <c r="BV44" i="24" s="1"/>
  <c r="AK44" i="24"/>
  <c r="AK66" i="24"/>
  <c r="AN66" i="24"/>
  <c r="BV66" i="24" s="1"/>
  <c r="AN26" i="24"/>
  <c r="BV26" i="24" s="1"/>
  <c r="AK26" i="24"/>
  <c r="AK20" i="24"/>
  <c r="AN20" i="24"/>
  <c r="AN80" i="24"/>
  <c r="BV80" i="24" s="1"/>
  <c r="AK80" i="24"/>
  <c r="AK17" i="24"/>
  <c r="AN17" i="24"/>
  <c r="BV17" i="24" s="1"/>
  <c r="AK24" i="24"/>
  <c r="AN24" i="24"/>
  <c r="BV24" i="24" s="1"/>
  <c r="AN47" i="24"/>
  <c r="AK47" i="24"/>
  <c r="AN67" i="24"/>
  <c r="CD67" i="24" s="1"/>
  <c r="AK67" i="24"/>
  <c r="AN57" i="24"/>
  <c r="BV57" i="24" s="1"/>
  <c r="AK57" i="24"/>
  <c r="AK62" i="24"/>
  <c r="AN62" i="24"/>
  <c r="BV62" i="24" s="1"/>
  <c r="AV30" i="24"/>
  <c r="AT30" i="24"/>
  <c r="BA30" i="24" s="1"/>
  <c r="AN9" i="24"/>
  <c r="BT9" i="24" s="1"/>
  <c r="AK9" i="24"/>
  <c r="AN75" i="24"/>
  <c r="BV75" i="24" s="1"/>
  <c r="AK75" i="24"/>
  <c r="AQ35" i="24"/>
  <c r="BI35" i="24"/>
  <c r="AN38" i="24"/>
  <c r="BV38" i="24" s="1"/>
  <c r="AK38" i="24"/>
  <c r="AV17" i="24"/>
  <c r="AT17" i="24"/>
  <c r="BA17" i="24" s="1"/>
  <c r="AK45" i="24"/>
  <c r="AN45" i="24"/>
  <c r="AV26" i="24"/>
  <c r="AT26" i="24"/>
  <c r="BA26" i="24" s="1"/>
  <c r="AK30" i="24"/>
  <c r="AN30" i="24"/>
  <c r="BV30" i="24" s="1"/>
  <c r="AK76" i="24"/>
  <c r="AN76" i="24"/>
  <c r="BV76" i="24" s="1"/>
  <c r="AN12" i="24"/>
  <c r="BV12" i="24" s="1"/>
  <c r="AK12" i="24"/>
  <c r="AN16" i="24"/>
  <c r="BV16" i="24" s="1"/>
  <c r="AK16" i="24"/>
  <c r="AK6" i="24"/>
  <c r="AN6" i="24"/>
  <c r="AN7" i="24"/>
  <c r="BV7" i="24" s="1"/>
  <c r="AK7" i="24"/>
  <c r="BE5" i="24"/>
  <c r="BS5" i="24" s="1"/>
  <c r="AQ110" i="24"/>
  <c r="AU185" i="24"/>
  <c r="AW185" i="24"/>
  <c r="AU201" i="24"/>
  <c r="AW201" i="24"/>
  <c r="AU151" i="24"/>
  <c r="AW151" i="24"/>
  <c r="AU129" i="24"/>
  <c r="AW129" i="24"/>
  <c r="AU158" i="24"/>
  <c r="AW158" i="24"/>
  <c r="AU315" i="24"/>
  <c r="AW315" i="24"/>
  <c r="AU307" i="24"/>
  <c r="AW307" i="24"/>
  <c r="AW233" i="24"/>
  <c r="AU233" i="24"/>
  <c r="AW227" i="24"/>
  <c r="AU227" i="24"/>
  <c r="AW241" i="24"/>
  <c r="AU241" i="24"/>
  <c r="AW239" i="24"/>
  <c r="AU239" i="24"/>
  <c r="AU281" i="24"/>
  <c r="AW281" i="24"/>
  <c r="AU124" i="24"/>
  <c r="AW124" i="24"/>
  <c r="AU113" i="24"/>
  <c r="AW113" i="24"/>
  <c r="AU118" i="24"/>
  <c r="AW118" i="24"/>
  <c r="AU285" i="24"/>
  <c r="AW285" i="24"/>
  <c r="AU286" i="24"/>
  <c r="AW286" i="24"/>
  <c r="AU125" i="24"/>
  <c r="AW125" i="24"/>
  <c r="AU261" i="24"/>
  <c r="AW261" i="24"/>
  <c r="AU300" i="24"/>
  <c r="AW300" i="24"/>
  <c r="AU216" i="24"/>
  <c r="AW216" i="24"/>
  <c r="AU274" i="24"/>
  <c r="AW274" i="24"/>
  <c r="AU259" i="24"/>
  <c r="AW259" i="24"/>
  <c r="AU294" i="24"/>
  <c r="AW294" i="24"/>
  <c r="AU299" i="24"/>
  <c r="AW299" i="24"/>
  <c r="AU173" i="24"/>
  <c r="AW173" i="24"/>
  <c r="AU221" i="24"/>
  <c r="AW221" i="24"/>
  <c r="AU271" i="24"/>
  <c r="AW271" i="24"/>
  <c r="AU280" i="24"/>
  <c r="AW280" i="24"/>
  <c r="AU137" i="24"/>
  <c r="AW137" i="24"/>
  <c r="AW247" i="24"/>
  <c r="AU247" i="24"/>
  <c r="AU288" i="24"/>
  <c r="AW288" i="24"/>
  <c r="AU262" i="24"/>
  <c r="AW262" i="24"/>
  <c r="AU190" i="24"/>
  <c r="AW190" i="24"/>
  <c r="AU183" i="24"/>
  <c r="AW183" i="24"/>
  <c r="AU197" i="24"/>
  <c r="AW197" i="24"/>
  <c r="AU202" i="24"/>
  <c r="AW202" i="24"/>
  <c r="AU187" i="24"/>
  <c r="AW187" i="24"/>
  <c r="AU200" i="24"/>
  <c r="AW200" i="24"/>
  <c r="AU180" i="24"/>
  <c r="AW180" i="24"/>
  <c r="AU264" i="24"/>
  <c r="AW264" i="24"/>
  <c r="AU236" i="24"/>
  <c r="AW236" i="24"/>
  <c r="AU287" i="24"/>
  <c r="AW287" i="24"/>
  <c r="AU309" i="24"/>
  <c r="AW309" i="24"/>
  <c r="AU272" i="24"/>
  <c r="AW272" i="24"/>
  <c r="AU121" i="24"/>
  <c r="AW121" i="24"/>
  <c r="AU228" i="24"/>
  <c r="AW228" i="24"/>
  <c r="AU290" i="24"/>
  <c r="AW290" i="24"/>
  <c r="AU175" i="24"/>
  <c r="AW175" i="24"/>
  <c r="AU302" i="24"/>
  <c r="AW302" i="24"/>
  <c r="AU301" i="24"/>
  <c r="AW301" i="24"/>
  <c r="AU171" i="24"/>
  <c r="AW171" i="24"/>
  <c r="AU139" i="24"/>
  <c r="AW139" i="24"/>
  <c r="AU246" i="24"/>
  <c r="AW246" i="24"/>
  <c r="AU244" i="24"/>
  <c r="AW244" i="24"/>
  <c r="AU252" i="24"/>
  <c r="AW252" i="24"/>
  <c r="AU293" i="24"/>
  <c r="AW293" i="24"/>
  <c r="AU178" i="24"/>
  <c r="AW178" i="24"/>
  <c r="AU270" i="24"/>
  <c r="AW270" i="24"/>
  <c r="AU220" i="24"/>
  <c r="AW220" i="24"/>
  <c r="AU276" i="24"/>
  <c r="AW276" i="24"/>
  <c r="AU142" i="24"/>
  <c r="AW142" i="24"/>
  <c r="AU248" i="24"/>
  <c r="AW248" i="24"/>
  <c r="AU310" i="24"/>
  <c r="AW310" i="24"/>
  <c r="AU257" i="24"/>
  <c r="AW257" i="24"/>
  <c r="AW133" i="24"/>
  <c r="AU177" i="24"/>
  <c r="AW177" i="24"/>
  <c r="AU116" i="24"/>
  <c r="AW116" i="24"/>
  <c r="AU153" i="24"/>
  <c r="AW153" i="24"/>
  <c r="AU292" i="24"/>
  <c r="AW292" i="24"/>
  <c r="AU224" i="24"/>
  <c r="AW224" i="24"/>
  <c r="AU250" i="24"/>
  <c r="AW250" i="24"/>
  <c r="AU313" i="24"/>
  <c r="AW313" i="24"/>
  <c r="AU266" i="24"/>
  <c r="AW266" i="24"/>
  <c r="AU256" i="24"/>
  <c r="AW256" i="24"/>
  <c r="AW263" i="24"/>
  <c r="AU263" i="24"/>
  <c r="AU298" i="24"/>
  <c r="AW298" i="24"/>
  <c r="AU237" i="24"/>
  <c r="AW237" i="24"/>
  <c r="AU234" i="24"/>
  <c r="AW234" i="24"/>
  <c r="AU269" i="24"/>
  <c r="AW269" i="24"/>
  <c r="AU277" i="24"/>
  <c r="AW277" i="24"/>
  <c r="AU144" i="24"/>
  <c r="AW144" i="24"/>
  <c r="AU160" i="24"/>
  <c r="AW160" i="24"/>
  <c r="AU316" i="24"/>
  <c r="AW316" i="24"/>
  <c r="AU258" i="24"/>
  <c r="AW258" i="24"/>
  <c r="AU218" i="24"/>
  <c r="AW218" i="24"/>
  <c r="AU296" i="24"/>
  <c r="AW296" i="24"/>
  <c r="AW303" i="24"/>
  <c r="AU303" i="24"/>
  <c r="AW231" i="24"/>
  <c r="AU231" i="24"/>
  <c r="AU154" i="24"/>
  <c r="AW154" i="24"/>
  <c r="AU143" i="24"/>
  <c r="AW143" i="24"/>
  <c r="AU111" i="24"/>
  <c r="AW111" i="24"/>
  <c r="AU140" i="24"/>
  <c r="AW140" i="24"/>
  <c r="AW297" i="24"/>
  <c r="AU297" i="24"/>
  <c r="AU314" i="24"/>
  <c r="AW314" i="24"/>
  <c r="AU283" i="24"/>
  <c r="AW283" i="24"/>
  <c r="AU145" i="24"/>
  <c r="AW145" i="24"/>
  <c r="AU148" i="24"/>
  <c r="AW148" i="24"/>
  <c r="AU222" i="24"/>
  <c r="AW222" i="24"/>
  <c r="AU223" i="24"/>
  <c r="AW223" i="24"/>
  <c r="AU267" i="24"/>
  <c r="AW267" i="24"/>
  <c r="AW279" i="24"/>
  <c r="AU279" i="24"/>
  <c r="AU253" i="24"/>
  <c r="AW253" i="24"/>
  <c r="AU273" i="24"/>
  <c r="AW273" i="24"/>
  <c r="AU229" i="24"/>
  <c r="AW229" i="24"/>
  <c r="AU251" i="24"/>
  <c r="AW251" i="24"/>
  <c r="AU254" i="24"/>
  <c r="AW254" i="24"/>
  <c r="AU268" i="24"/>
  <c r="AW268" i="24"/>
  <c r="AU127" i="24"/>
  <c r="AW127" i="24"/>
  <c r="AU138" i="24"/>
  <c r="AW138" i="24"/>
  <c r="AU120" i="24"/>
  <c r="AW120" i="24"/>
  <c r="AU235" i="24"/>
  <c r="AW235" i="24"/>
  <c r="AU275" i="24"/>
  <c r="AW275" i="24"/>
  <c r="AU243" i="24"/>
  <c r="AW243" i="24"/>
  <c r="AU282" i="24"/>
  <c r="AW282" i="24"/>
  <c r="AU219" i="24"/>
  <c r="AW219" i="24"/>
  <c r="AU240" i="24"/>
  <c r="AW240" i="24"/>
  <c r="AU230" i="24"/>
  <c r="AW230" i="24"/>
  <c r="AU179" i="24"/>
  <c r="AW179" i="24"/>
  <c r="AW135" i="24"/>
  <c r="AU135" i="24"/>
  <c r="AU164" i="24"/>
  <c r="AW164" i="24"/>
  <c r="AU126" i="24"/>
  <c r="AW126" i="24"/>
  <c r="AU245" i="24"/>
  <c r="AW245" i="24"/>
  <c r="AU249" i="24"/>
  <c r="AW249" i="24"/>
  <c r="AU304" i="24"/>
  <c r="AW304" i="24"/>
  <c r="AP110" i="25"/>
  <c r="AT173" i="25"/>
  <c r="AY173" i="25" s="1"/>
  <c r="AU173" i="25"/>
  <c r="AT210" i="25"/>
  <c r="AY210" i="25" s="1"/>
  <c r="AU210" i="25"/>
  <c r="AT171" i="25"/>
  <c r="AY171" i="25" s="1"/>
  <c r="AU171" i="25"/>
  <c r="AT191" i="25"/>
  <c r="AY191" i="25" s="1"/>
  <c r="AU191" i="25"/>
  <c r="AT209" i="25"/>
  <c r="AY209" i="25" s="1"/>
  <c r="AU209" i="25"/>
  <c r="AT175" i="25"/>
  <c r="AY175" i="25" s="1"/>
  <c r="AU175" i="25"/>
  <c r="AU123" i="25"/>
  <c r="AT123" i="25"/>
  <c r="AY123" i="25" s="1"/>
  <c r="AU203" i="25"/>
  <c r="AT203" i="25"/>
  <c r="AY203" i="25" s="1"/>
  <c r="AU167" i="25"/>
  <c r="AT167" i="25"/>
  <c r="AY167" i="25" s="1"/>
  <c r="AT148" i="25"/>
  <c r="AY148" i="25" s="1"/>
  <c r="AU148" i="25"/>
  <c r="AT199" i="25"/>
  <c r="AY199" i="25" s="1"/>
  <c r="AU199" i="25"/>
  <c r="AT136" i="25"/>
  <c r="AY136" i="25" s="1"/>
  <c r="AU136" i="25"/>
  <c r="AT180" i="25"/>
  <c r="AY180" i="25" s="1"/>
  <c r="AU180" i="25"/>
  <c r="AT121" i="25"/>
  <c r="AY121" i="25" s="1"/>
  <c r="AU121" i="25"/>
  <c r="AT201" i="25"/>
  <c r="AY201" i="25" s="1"/>
  <c r="AU201" i="25"/>
  <c r="AU147" i="25"/>
  <c r="AT147" i="25"/>
  <c r="AY147" i="25" s="1"/>
  <c r="AT111" i="25"/>
  <c r="AY111" i="25" s="1"/>
  <c r="AU111" i="25"/>
  <c r="AT194" i="25"/>
  <c r="AY194" i="25" s="1"/>
  <c r="AU194" i="25"/>
  <c r="AT202" i="25"/>
  <c r="AY202" i="25" s="1"/>
  <c r="AU202" i="25"/>
  <c r="AT122" i="25"/>
  <c r="AY122" i="25" s="1"/>
  <c r="AU122" i="25"/>
  <c r="AT130" i="25"/>
  <c r="AY130" i="25" s="1"/>
  <c r="AU130" i="25"/>
  <c r="AT115" i="25"/>
  <c r="AY115" i="25" s="1"/>
  <c r="AU115" i="25"/>
  <c r="AT206" i="25"/>
  <c r="AY206" i="25" s="1"/>
  <c r="AU206" i="25"/>
  <c r="AT178" i="25"/>
  <c r="AY178" i="25" s="1"/>
  <c r="AU178" i="25"/>
  <c r="AT186" i="25"/>
  <c r="AY186" i="25" s="1"/>
  <c r="AU186" i="25"/>
  <c r="AT112" i="25"/>
  <c r="AY112" i="25" s="1"/>
  <c r="AU112" i="25"/>
  <c r="AT150" i="25"/>
  <c r="AY150" i="25" s="1"/>
  <c r="AU150" i="25"/>
  <c r="AT160" i="25"/>
  <c r="AY160" i="25" s="1"/>
  <c r="AU160" i="25"/>
  <c r="AT163" i="25"/>
  <c r="AY163" i="25" s="1"/>
  <c r="AU163" i="25"/>
  <c r="AT205" i="25"/>
  <c r="AY205" i="25" s="1"/>
  <c r="AU205" i="25"/>
  <c r="AT162" i="25"/>
  <c r="AY162" i="25" s="1"/>
  <c r="AU162" i="25"/>
  <c r="AT144" i="25"/>
  <c r="AY144" i="25" s="1"/>
  <c r="AU144" i="25"/>
  <c r="AT119" i="25"/>
  <c r="AY119" i="25" s="1"/>
  <c r="AU119" i="25"/>
  <c r="AT181" i="25"/>
  <c r="AY181" i="25" s="1"/>
  <c r="AU181" i="25"/>
  <c r="AT197" i="25"/>
  <c r="AY197" i="25" s="1"/>
  <c r="AU197" i="25"/>
  <c r="AU207" i="25"/>
  <c r="AT207" i="25"/>
  <c r="AY207" i="25" s="1"/>
  <c r="AT134" i="25"/>
  <c r="AY134" i="25" s="1"/>
  <c r="AU134" i="25"/>
  <c r="AT189" i="25"/>
  <c r="AY189" i="25" s="1"/>
  <c r="AU189" i="25"/>
  <c r="AT156" i="25"/>
  <c r="AY156" i="25" s="1"/>
  <c r="AU156" i="25"/>
  <c r="AT138" i="25"/>
  <c r="AY138" i="25" s="1"/>
  <c r="AU138" i="25"/>
  <c r="AT113" i="25"/>
  <c r="AY113" i="25" s="1"/>
  <c r="AU113" i="25"/>
  <c r="AT131" i="25"/>
  <c r="AY131" i="25" s="1"/>
  <c r="AU131" i="25"/>
  <c r="AT141" i="25"/>
  <c r="AY141" i="25" s="1"/>
  <c r="AU141" i="25"/>
  <c r="AT132" i="25"/>
  <c r="AY132" i="25" s="1"/>
  <c r="AU132" i="25"/>
  <c r="AU135" i="25"/>
  <c r="AT135" i="25"/>
  <c r="AY135" i="25" s="1"/>
  <c r="AT155" i="25"/>
  <c r="AY155" i="25" s="1"/>
  <c r="AU155" i="25"/>
  <c r="AT208" i="25"/>
  <c r="AY208" i="25" s="1"/>
  <c r="AU208" i="25"/>
  <c r="AT165" i="25"/>
  <c r="AY165" i="25" s="1"/>
  <c r="AU165" i="25"/>
  <c r="AT145" i="25"/>
  <c r="AY145" i="25" s="1"/>
  <c r="AU145" i="25"/>
  <c r="AT137" i="25"/>
  <c r="AY137" i="25" s="1"/>
  <c r="AU137" i="25"/>
  <c r="AT125" i="25"/>
  <c r="AY125" i="25" s="1"/>
  <c r="AU125" i="25"/>
  <c r="AT193" i="25"/>
  <c r="AY193" i="25" s="1"/>
  <c r="AU193" i="25"/>
  <c r="AU127" i="25"/>
  <c r="AT127" i="25"/>
  <c r="AY127" i="25" s="1"/>
  <c r="AT157" i="25"/>
  <c r="AY157" i="25" s="1"/>
  <c r="AU157" i="25"/>
  <c r="AT151" i="25"/>
  <c r="AY151" i="25" s="1"/>
  <c r="AU151" i="25"/>
  <c r="AT117" i="25"/>
  <c r="AY117" i="25" s="1"/>
  <c r="AU117" i="25"/>
  <c r="AT172" i="25"/>
  <c r="AY172" i="25" s="1"/>
  <c r="AU172" i="25"/>
  <c r="AT146" i="25"/>
  <c r="AY146" i="25" s="1"/>
  <c r="AU146" i="25"/>
  <c r="AT184" i="25"/>
  <c r="AY184" i="25" s="1"/>
  <c r="AU184" i="25"/>
  <c r="AT154" i="25"/>
  <c r="AY154" i="25" s="1"/>
  <c r="AU154" i="25"/>
  <c r="AT183" i="25"/>
  <c r="AY183" i="25" s="1"/>
  <c r="AU183" i="25"/>
  <c r="AT190" i="25"/>
  <c r="AY190" i="25" s="1"/>
  <c r="AU190" i="25"/>
  <c r="AT116" i="25"/>
  <c r="AY116" i="25" s="1"/>
  <c r="AU116" i="25"/>
  <c r="AT153" i="25"/>
  <c r="AY153" i="25" s="1"/>
  <c r="AU153" i="25"/>
  <c r="AT128" i="25"/>
  <c r="AY128" i="25" s="1"/>
  <c r="AU128" i="25"/>
  <c r="AT118" i="25"/>
  <c r="AY118" i="25" s="1"/>
  <c r="AU118" i="25"/>
  <c r="AT164" i="25"/>
  <c r="AY164" i="25" s="1"/>
  <c r="AU164" i="25"/>
  <c r="AT133" i="25"/>
  <c r="AY133" i="25" s="1"/>
  <c r="AU133" i="25"/>
  <c r="AT185" i="25"/>
  <c r="AY185" i="25" s="1"/>
  <c r="AU185" i="25"/>
  <c r="AT188" i="25"/>
  <c r="AY188" i="25" s="1"/>
  <c r="AU188" i="25"/>
  <c r="AT158" i="25"/>
  <c r="AY158" i="25" s="1"/>
  <c r="AU158" i="25"/>
  <c r="AT126" i="25"/>
  <c r="AY126" i="25" s="1"/>
  <c r="AU126" i="25"/>
  <c r="AT149" i="25"/>
  <c r="AY149" i="25" s="1"/>
  <c r="AU149" i="25"/>
  <c r="AT195" i="25"/>
  <c r="AY195" i="25" s="1"/>
  <c r="AU195" i="25"/>
  <c r="AT177" i="25"/>
  <c r="AY177" i="25" s="1"/>
  <c r="AU177" i="25"/>
  <c r="AT196" i="25"/>
  <c r="AY196" i="25" s="1"/>
  <c r="AU196" i="25"/>
  <c r="AT176" i="25"/>
  <c r="AY176" i="25" s="1"/>
  <c r="AU176" i="25"/>
  <c r="AT174" i="25"/>
  <c r="AY174" i="25" s="1"/>
  <c r="AU174" i="25"/>
  <c r="AT168" i="25"/>
  <c r="AY168" i="25" s="1"/>
  <c r="AU168" i="25"/>
  <c r="AT198" i="25"/>
  <c r="AY198" i="25" s="1"/>
  <c r="AU198" i="25"/>
  <c r="AU187" i="25"/>
  <c r="AT187" i="25"/>
  <c r="AY187" i="25" s="1"/>
  <c r="AT159" i="25"/>
  <c r="AY159" i="25" s="1"/>
  <c r="AU159" i="25"/>
  <c r="AT182" i="25"/>
  <c r="AY182" i="25" s="1"/>
  <c r="AU182" i="25"/>
  <c r="AT152" i="25"/>
  <c r="AY152" i="25" s="1"/>
  <c r="AU152" i="25"/>
  <c r="AT129" i="25"/>
  <c r="AY129" i="25" s="1"/>
  <c r="AU129" i="25"/>
  <c r="AT139" i="25"/>
  <c r="AY139" i="25" s="1"/>
  <c r="AU139" i="25"/>
  <c r="AT200" i="25"/>
  <c r="AY200" i="25" s="1"/>
  <c r="AU200" i="25"/>
  <c r="AT114" i="25"/>
  <c r="AY114" i="25" s="1"/>
  <c r="AU114" i="25"/>
  <c r="AT142" i="25"/>
  <c r="AY142" i="25" s="1"/>
  <c r="AU142" i="25"/>
  <c r="AU179" i="25"/>
  <c r="AT179" i="25"/>
  <c r="AY179" i="25" s="1"/>
  <c r="AT140" i="25"/>
  <c r="AY140" i="25" s="1"/>
  <c r="AU140" i="25"/>
  <c r="AT161" i="25"/>
  <c r="AY161" i="25" s="1"/>
  <c r="AU161" i="25"/>
  <c r="AT169" i="25"/>
  <c r="AY169" i="25" s="1"/>
  <c r="AU169" i="25"/>
  <c r="AT192" i="25"/>
  <c r="AY192" i="25" s="1"/>
  <c r="AU192" i="25"/>
  <c r="AT124" i="25"/>
  <c r="AY124" i="25" s="1"/>
  <c r="AU124" i="25"/>
  <c r="AT204" i="25"/>
  <c r="AY204" i="25" s="1"/>
  <c r="AU204" i="25"/>
  <c r="AU143" i="25"/>
  <c r="AT143" i="25"/>
  <c r="AY143" i="25" s="1"/>
  <c r="AT170" i="25"/>
  <c r="AY170" i="25" s="1"/>
  <c r="AU170" i="25"/>
  <c r="AT166" i="25"/>
  <c r="AY166" i="25" s="1"/>
  <c r="AU166" i="25"/>
  <c r="AT120" i="25"/>
  <c r="AY120" i="25" s="1"/>
  <c r="AU120" i="25"/>
  <c r="AT311" i="25"/>
  <c r="AU311" i="25"/>
  <c r="AT252" i="25"/>
  <c r="AU252" i="25"/>
  <c r="AT277" i="25"/>
  <c r="AU277" i="25"/>
  <c r="AT221" i="25"/>
  <c r="AU221" i="25"/>
  <c r="AT280" i="25"/>
  <c r="AU280" i="25"/>
  <c r="AT263" i="25"/>
  <c r="AU263" i="25"/>
  <c r="AU259" i="25"/>
  <c r="AT259" i="25"/>
  <c r="AT234" i="25"/>
  <c r="AU234" i="25"/>
  <c r="AT245" i="25"/>
  <c r="AU245" i="25"/>
  <c r="AT290" i="25"/>
  <c r="AU290" i="25"/>
  <c r="AT220" i="25"/>
  <c r="AU220" i="25"/>
  <c r="AT305" i="25"/>
  <c r="AU305" i="25"/>
  <c r="AT217" i="25"/>
  <c r="AU217" i="25"/>
  <c r="AT288" i="25"/>
  <c r="AU288" i="25"/>
  <c r="AT258" i="25"/>
  <c r="AU258" i="25"/>
  <c r="AT278" i="25"/>
  <c r="AU278" i="25"/>
  <c r="AU271" i="25"/>
  <c r="AT271" i="25"/>
  <c r="AT282" i="25"/>
  <c r="AU282" i="25"/>
  <c r="AU235" i="25"/>
  <c r="AT235" i="25"/>
  <c r="AT301" i="25"/>
  <c r="AU301" i="25"/>
  <c r="AT275" i="25"/>
  <c r="AU275" i="25"/>
  <c r="AU287" i="25"/>
  <c r="AT287" i="25"/>
  <c r="AT239" i="25"/>
  <c r="AU239" i="25"/>
  <c r="AT226" i="25"/>
  <c r="AU226" i="25"/>
  <c r="AT299" i="25"/>
  <c r="AU299" i="25"/>
  <c r="AT289" i="25"/>
  <c r="AU289" i="25"/>
  <c r="AT253" i="25"/>
  <c r="AU253" i="25"/>
  <c r="AT281" i="25"/>
  <c r="AU281" i="25"/>
  <c r="AT304" i="25"/>
  <c r="AU304" i="25"/>
  <c r="AT265" i="25"/>
  <c r="AU265" i="25"/>
  <c r="AT224" i="25"/>
  <c r="AU224" i="25"/>
  <c r="AT269" i="25"/>
  <c r="AU269" i="25"/>
  <c r="AT313" i="25"/>
  <c r="AU313" i="25"/>
  <c r="AT233" i="25"/>
  <c r="AU233" i="25"/>
  <c r="AT303" i="25"/>
  <c r="AU303" i="25"/>
  <c r="AU302" i="25"/>
  <c r="AT302" i="25"/>
  <c r="AT297" i="25"/>
  <c r="AU297" i="25"/>
  <c r="AT223" i="25"/>
  <c r="AU223" i="25"/>
  <c r="AT268" i="25"/>
  <c r="AU268" i="25"/>
  <c r="AT298" i="25"/>
  <c r="AU298" i="25"/>
  <c r="AT225" i="25"/>
  <c r="AU225" i="25"/>
  <c r="AT312" i="25"/>
  <c r="AU312" i="25"/>
  <c r="AT242" i="25"/>
  <c r="AU242" i="25"/>
  <c r="AT264" i="25"/>
  <c r="AU264" i="25"/>
  <c r="AT260" i="25"/>
  <c r="AU260" i="25"/>
  <c r="AT309" i="25"/>
  <c r="AU309" i="25"/>
  <c r="AT229" i="25"/>
  <c r="AU229" i="25"/>
  <c r="AT247" i="25"/>
  <c r="AU247" i="25"/>
  <c r="AT307" i="25"/>
  <c r="AU307" i="25"/>
  <c r="AT216" i="25"/>
  <c r="AU216" i="25"/>
  <c r="AT250" i="25"/>
  <c r="AU250" i="25"/>
  <c r="AT251" i="25"/>
  <c r="AU251" i="25"/>
  <c r="AT227" i="25"/>
  <c r="AU227" i="25"/>
  <c r="AT262" i="25"/>
  <c r="AU262" i="25"/>
  <c r="AU294" i="25"/>
  <c r="AT294" i="25"/>
  <c r="AT314" i="25"/>
  <c r="AU314" i="25"/>
  <c r="AU295" i="25"/>
  <c r="AT295" i="25"/>
  <c r="AT296" i="25"/>
  <c r="AU296" i="25"/>
  <c r="AT279" i="25"/>
  <c r="AU279" i="25"/>
  <c r="AT246" i="25"/>
  <c r="AU246" i="25"/>
  <c r="AT236" i="25"/>
  <c r="AU236" i="25"/>
  <c r="AT284" i="25"/>
  <c r="AU284" i="25"/>
  <c r="AU306" i="25"/>
  <c r="AT306" i="25"/>
  <c r="AT308" i="25"/>
  <c r="AU308" i="25"/>
  <c r="AT238" i="25"/>
  <c r="AU238" i="25"/>
  <c r="AT292" i="25"/>
  <c r="AU292" i="25"/>
  <c r="AT244" i="25"/>
  <c r="AU244" i="25"/>
  <c r="AT285" i="25"/>
  <c r="AU285" i="25"/>
  <c r="AT293" i="25"/>
  <c r="AU293" i="25"/>
  <c r="AT270" i="25"/>
  <c r="AU270" i="25"/>
  <c r="AT266" i="25"/>
  <c r="AU266" i="25"/>
  <c r="AT291" i="25"/>
  <c r="AU291" i="25"/>
  <c r="AT248" i="25"/>
  <c r="AU248" i="25"/>
  <c r="AT300" i="25"/>
  <c r="AU300" i="25"/>
  <c r="AT219" i="25"/>
  <c r="AU219" i="25"/>
  <c r="AT315" i="25"/>
  <c r="AU315" i="25"/>
  <c r="AT310" i="25"/>
  <c r="AU310" i="25"/>
  <c r="AT276" i="25"/>
  <c r="AU276" i="25"/>
  <c r="AT241" i="25"/>
  <c r="AU241" i="25"/>
  <c r="AT249" i="25"/>
  <c r="AU249" i="25"/>
  <c r="AT283" i="25"/>
  <c r="AU283" i="25"/>
  <c r="AT316" i="25"/>
  <c r="AU316" i="25"/>
  <c r="AU243" i="25"/>
  <c r="AT243" i="25"/>
  <c r="AT232" i="25"/>
  <c r="AU232" i="25"/>
  <c r="AT274" i="25"/>
  <c r="AU274" i="25"/>
  <c r="AT256" i="25"/>
  <c r="AU256" i="25"/>
  <c r="AT254" i="25"/>
  <c r="AU254" i="25"/>
  <c r="AT272" i="25"/>
  <c r="AU272" i="25"/>
  <c r="AT222" i="25"/>
  <c r="AU222" i="25"/>
  <c r="AT273" i="25"/>
  <c r="AU273" i="25"/>
  <c r="AT218" i="25"/>
  <c r="AU218" i="25"/>
  <c r="AT240" i="25"/>
  <c r="AU240" i="25"/>
  <c r="AT261" i="25"/>
  <c r="AU261" i="25"/>
  <c r="AT255" i="25"/>
  <c r="AU255" i="25"/>
  <c r="AT237" i="25"/>
  <c r="AU237" i="25"/>
  <c r="AT286" i="25"/>
  <c r="AU286" i="25"/>
  <c r="AT257" i="25"/>
  <c r="AU257" i="25"/>
  <c r="AT228" i="25"/>
  <c r="AU228" i="25"/>
  <c r="AU267" i="25"/>
  <c r="AT267" i="25"/>
  <c r="AT230" i="25"/>
  <c r="AU230" i="25"/>
  <c r="AT231" i="25"/>
  <c r="AU231" i="25"/>
  <c r="AX5" i="25"/>
  <c r="AR5" i="25"/>
  <c r="BH5" i="25"/>
  <c r="BT5" i="25"/>
  <c r="AP5" i="25"/>
  <c r="BF5" i="25"/>
  <c r="BG5" i="25"/>
  <c r="B108" i="2"/>
  <c r="B98" i="2"/>
  <c r="AU65" i="25"/>
  <c r="AU98" i="25"/>
  <c r="AU43" i="25"/>
  <c r="AU55" i="25"/>
  <c r="AU57" i="25"/>
  <c r="AU73" i="25"/>
  <c r="AU85" i="25"/>
  <c r="AU95" i="25"/>
  <c r="AU32" i="25"/>
  <c r="AU66" i="25"/>
  <c r="AU84" i="25"/>
  <c r="AU99" i="25"/>
  <c r="AU18" i="25"/>
  <c r="AU60" i="25"/>
  <c r="AU90" i="25"/>
  <c r="AU33" i="25"/>
  <c r="AT35" i="25"/>
  <c r="AY35" i="25" s="1"/>
  <c r="AU35" i="25"/>
  <c r="AT105" i="25"/>
  <c r="AU105" i="25"/>
  <c r="AT41" i="25"/>
  <c r="AY41" i="25" s="1"/>
  <c r="AU41" i="25"/>
  <c r="AT15" i="25"/>
  <c r="AY15" i="25" s="1"/>
  <c r="AU15" i="25"/>
  <c r="AU25" i="25"/>
  <c r="AT92" i="25"/>
  <c r="AY92" i="25" s="1"/>
  <c r="AU92" i="25"/>
  <c r="AT104" i="25"/>
  <c r="AY104" i="25" s="1"/>
  <c r="AU104" i="25"/>
  <c r="AT52" i="25"/>
  <c r="AY52" i="25" s="1"/>
  <c r="AU52" i="25"/>
  <c r="AT96" i="25"/>
  <c r="AY96" i="25" s="1"/>
  <c r="AU96" i="25"/>
  <c r="AT94" i="25"/>
  <c r="AY94" i="25" s="1"/>
  <c r="AU94" i="25"/>
  <c r="AT31" i="25"/>
  <c r="AY31" i="25" s="1"/>
  <c r="AU31" i="25"/>
  <c r="AT24" i="25"/>
  <c r="AY24" i="25" s="1"/>
  <c r="AU24" i="25"/>
  <c r="AT13" i="25"/>
  <c r="AY13" i="25" s="1"/>
  <c r="AU13" i="25"/>
  <c r="AT68" i="25"/>
  <c r="AY68" i="25" s="1"/>
  <c r="AU68" i="25"/>
  <c r="AT91" i="25"/>
  <c r="AY91" i="25" s="1"/>
  <c r="AU91" i="25"/>
  <c r="AT93" i="25"/>
  <c r="AY93" i="25" s="1"/>
  <c r="AU93" i="25"/>
  <c r="AT30" i="25"/>
  <c r="AY30" i="25" s="1"/>
  <c r="AU30" i="25"/>
  <c r="AU16" i="25"/>
  <c r="AT71" i="25"/>
  <c r="AY71" i="25" s="1"/>
  <c r="AU71" i="25"/>
  <c r="AT61" i="25"/>
  <c r="AY61" i="25" s="1"/>
  <c r="AU61" i="25"/>
  <c r="AT54" i="25"/>
  <c r="AY54" i="25" s="1"/>
  <c r="AU54" i="25"/>
  <c r="AU10" i="25"/>
  <c r="AU23" i="25"/>
  <c r="AT79" i="25"/>
  <c r="AY79" i="25" s="1"/>
  <c r="AU79" i="25"/>
  <c r="AT40" i="25"/>
  <c r="AY40" i="25" s="1"/>
  <c r="AU40" i="25"/>
  <c r="AT27" i="25"/>
  <c r="AY27" i="25" s="1"/>
  <c r="AU27" i="25"/>
  <c r="AU77" i="25"/>
  <c r="AT53" i="25"/>
  <c r="AY53" i="25" s="1"/>
  <c r="AU53" i="25"/>
  <c r="AT51" i="25"/>
  <c r="AY51" i="25" s="1"/>
  <c r="AU51" i="25"/>
  <c r="AT63" i="25"/>
  <c r="AY63" i="25" s="1"/>
  <c r="AU63" i="25"/>
  <c r="AT67" i="25"/>
  <c r="AY67" i="25" s="1"/>
  <c r="AU67" i="25"/>
  <c r="AT47" i="25"/>
  <c r="AY47" i="25" s="1"/>
  <c r="AU47" i="25"/>
  <c r="AT22" i="25"/>
  <c r="AY22" i="25" s="1"/>
  <c r="AU22" i="25"/>
  <c r="AT17" i="25"/>
  <c r="AY17" i="25" s="1"/>
  <c r="AU17" i="25"/>
  <c r="AT78" i="25"/>
  <c r="AY78" i="25" s="1"/>
  <c r="AU78" i="25"/>
  <c r="AT20" i="25"/>
  <c r="AY20" i="25" s="1"/>
  <c r="AU20" i="25"/>
  <c r="AT9" i="25"/>
  <c r="AY9" i="25" s="1"/>
  <c r="AU9" i="25"/>
  <c r="AU39" i="25"/>
  <c r="AT76" i="25"/>
  <c r="AY76" i="25" s="1"/>
  <c r="AU76" i="25"/>
  <c r="AT48" i="25"/>
  <c r="AY48" i="25" s="1"/>
  <c r="AU48" i="25"/>
  <c r="AT59" i="25"/>
  <c r="AY59" i="25" s="1"/>
  <c r="AU59" i="25"/>
  <c r="AU46" i="25"/>
  <c r="AU89" i="25"/>
  <c r="AU19" i="25"/>
  <c r="AT101" i="25"/>
  <c r="AY101" i="25" s="1"/>
  <c r="AU101" i="25"/>
  <c r="AU50" i="25"/>
  <c r="AT69" i="25"/>
  <c r="AY69" i="25" s="1"/>
  <c r="AU69" i="25"/>
  <c r="AT37" i="25"/>
  <c r="AY37" i="25" s="1"/>
  <c r="AU37" i="25"/>
  <c r="AT38" i="25"/>
  <c r="AY38" i="25" s="1"/>
  <c r="AU38" i="25"/>
  <c r="AT49" i="25"/>
  <c r="AY49" i="25" s="1"/>
  <c r="AU49" i="25"/>
  <c r="AT11" i="25"/>
  <c r="AY11" i="25" s="1"/>
  <c r="AU11" i="25"/>
  <c r="AT6" i="25"/>
  <c r="AY6" i="25" s="1"/>
  <c r="AU6" i="25"/>
  <c r="AT36" i="25"/>
  <c r="AY36" i="25" s="1"/>
  <c r="AU36" i="25"/>
  <c r="AU7" i="25"/>
  <c r="AT97" i="25"/>
  <c r="AY97" i="25" s="1"/>
  <c r="AU97" i="25"/>
  <c r="AT28" i="25"/>
  <c r="AY28" i="25" s="1"/>
  <c r="AU28" i="25"/>
  <c r="AT100" i="25"/>
  <c r="AY100" i="25" s="1"/>
  <c r="AU100" i="25"/>
  <c r="AT44" i="25"/>
  <c r="AY44" i="25" s="1"/>
  <c r="AU44" i="25"/>
  <c r="AT26" i="25"/>
  <c r="AY26" i="25" s="1"/>
  <c r="AU26" i="25"/>
  <c r="AT103" i="25"/>
  <c r="AY103" i="25" s="1"/>
  <c r="AU103" i="25"/>
  <c r="AT64" i="25"/>
  <c r="AY64" i="25" s="1"/>
  <c r="AU64" i="25"/>
  <c r="AT62" i="25"/>
  <c r="AY62" i="25" s="1"/>
  <c r="AU62" i="25"/>
  <c r="AT12" i="25"/>
  <c r="AY12" i="25" s="1"/>
  <c r="AU12" i="25"/>
  <c r="AU75" i="25"/>
  <c r="AT42" i="25"/>
  <c r="AY42" i="25" s="1"/>
  <c r="AU42" i="25"/>
  <c r="AT87" i="25"/>
  <c r="AY87" i="25" s="1"/>
  <c r="AU87" i="25"/>
  <c r="AU45" i="25"/>
  <c r="AU80" i="25"/>
  <c r="AT86" i="25"/>
  <c r="AY86" i="25" s="1"/>
  <c r="AU86" i="25"/>
  <c r="AT14" i="25"/>
  <c r="AY14" i="25" s="1"/>
  <c r="AU14" i="25"/>
  <c r="AT56" i="25"/>
  <c r="AY56" i="25" s="1"/>
  <c r="AU56" i="25"/>
  <c r="AT83" i="25"/>
  <c r="AY83" i="25" s="1"/>
  <c r="AU83" i="25"/>
  <c r="AT21" i="25"/>
  <c r="AY21" i="25" s="1"/>
  <c r="AU21" i="25"/>
  <c r="AU74" i="25"/>
  <c r="AT88" i="25"/>
  <c r="AY88" i="25" s="1"/>
  <c r="AU88" i="25"/>
  <c r="AT82" i="25"/>
  <c r="AY82" i="25" s="1"/>
  <c r="AU82" i="25"/>
  <c r="AT29" i="25"/>
  <c r="AY29" i="25" s="1"/>
  <c r="AU29" i="25"/>
  <c r="AU34" i="25"/>
  <c r="AT102" i="25"/>
  <c r="AY102" i="25" s="1"/>
  <c r="AU102" i="25"/>
  <c r="AT81" i="25"/>
  <c r="AY81" i="25" s="1"/>
  <c r="AU81" i="25"/>
  <c r="AT70" i="25"/>
  <c r="AY70" i="25" s="1"/>
  <c r="AU70" i="25"/>
  <c r="AU72" i="25"/>
  <c r="AT8" i="25"/>
  <c r="AY8" i="25" s="1"/>
  <c r="AU8" i="25"/>
  <c r="AW40" i="24"/>
  <c r="AY40" i="24" s="1"/>
  <c r="AZ40" i="24" s="1"/>
  <c r="AU32" i="24"/>
  <c r="BB32" i="24" s="1"/>
  <c r="AU53" i="24"/>
  <c r="BB53" i="24" s="1"/>
  <c r="BD53" i="24"/>
  <c r="BG53" i="24" s="1"/>
  <c r="BL53" i="24" s="1"/>
  <c r="BM53" i="24" s="1"/>
  <c r="BE53" i="24"/>
  <c r="BS53" i="24" s="1"/>
  <c r="BD32" i="24"/>
  <c r="BG32" i="24" s="1"/>
  <c r="BL32" i="24" s="1"/>
  <c r="BM32" i="24" s="1"/>
  <c r="BE32" i="24"/>
  <c r="BS32" i="24" s="1"/>
  <c r="AU18" i="24"/>
  <c r="BB18" i="24" s="1"/>
  <c r="AW18" i="24"/>
  <c r="AY18" i="24" s="1"/>
  <c r="AZ18" i="24" s="1"/>
  <c r="AW29" i="24"/>
  <c r="AY29" i="24" s="1"/>
  <c r="AZ29" i="24" s="1"/>
  <c r="AU29" i="24"/>
  <c r="BB29" i="24" s="1"/>
  <c r="AW82" i="24"/>
  <c r="AY82" i="24" s="1"/>
  <c r="AZ82" i="24" s="1"/>
  <c r="AU82" i="24"/>
  <c r="BB82" i="24" s="1"/>
  <c r="AW54" i="24"/>
  <c r="AY54" i="24" s="1"/>
  <c r="AZ54" i="24" s="1"/>
  <c r="AU54" i="24"/>
  <c r="BB54" i="24" s="1"/>
  <c r="AW19" i="24"/>
  <c r="AY19" i="24" s="1"/>
  <c r="AZ19" i="24" s="1"/>
  <c r="AU19" i="24"/>
  <c r="BB19" i="24" s="1"/>
  <c r="AW89" i="24"/>
  <c r="AY89" i="24" s="1"/>
  <c r="AZ89" i="24" s="1"/>
  <c r="AU89" i="24"/>
  <c r="BB89" i="24" s="1"/>
  <c r="AW59" i="24"/>
  <c r="AY59" i="24" s="1"/>
  <c r="AZ59" i="24" s="1"/>
  <c r="AU59" i="24"/>
  <c r="BB59" i="24" s="1"/>
  <c r="AW42" i="24"/>
  <c r="AY42" i="24" s="1"/>
  <c r="AZ42" i="24" s="1"/>
  <c r="AU42" i="24"/>
  <c r="BB42" i="24" s="1"/>
  <c r="AW36" i="24"/>
  <c r="AY36" i="24" s="1"/>
  <c r="AZ36" i="24" s="1"/>
  <c r="AU36" i="24"/>
  <c r="BB36" i="24" s="1"/>
  <c r="AW63" i="24"/>
  <c r="AY63" i="24" s="1"/>
  <c r="AZ63" i="24" s="1"/>
  <c r="AU63" i="24"/>
  <c r="BB63" i="24" s="1"/>
  <c r="AW56" i="24"/>
  <c r="AY56" i="24" s="1"/>
  <c r="AZ56" i="24" s="1"/>
  <c r="AU56" i="24"/>
  <c r="BB56" i="24" s="1"/>
  <c r="AW74" i="24"/>
  <c r="AY74" i="24" s="1"/>
  <c r="AZ74" i="24" s="1"/>
  <c r="AU74" i="24"/>
  <c r="BB74" i="24" s="1"/>
  <c r="AW72" i="24"/>
  <c r="AY72" i="24" s="1"/>
  <c r="AZ72" i="24" s="1"/>
  <c r="AU72" i="24"/>
  <c r="BB72" i="24" s="1"/>
  <c r="AW92" i="24"/>
  <c r="AY92" i="24" s="1"/>
  <c r="AZ92" i="24" s="1"/>
  <c r="AU92" i="24"/>
  <c r="BB92" i="24" s="1"/>
  <c r="AW79" i="24"/>
  <c r="AY79" i="24" s="1"/>
  <c r="AZ79" i="24" s="1"/>
  <c r="AU79" i="24"/>
  <c r="BB79" i="24" s="1"/>
  <c r="AW28" i="24"/>
  <c r="AY28" i="24" s="1"/>
  <c r="AZ28" i="24" s="1"/>
  <c r="AU28" i="24"/>
  <c r="BB28" i="24" s="1"/>
  <c r="AW96" i="24"/>
  <c r="AY96" i="24" s="1"/>
  <c r="AZ96" i="24" s="1"/>
  <c r="AU96" i="24"/>
  <c r="BB96" i="24" s="1"/>
  <c r="AW83" i="24"/>
  <c r="AY83" i="24" s="1"/>
  <c r="AZ83" i="24" s="1"/>
  <c r="AU83" i="24"/>
  <c r="BB83" i="24" s="1"/>
  <c r="AW68" i="24"/>
  <c r="AY68" i="24" s="1"/>
  <c r="AZ68" i="24" s="1"/>
  <c r="AU68" i="24"/>
  <c r="BB68" i="24" s="1"/>
  <c r="AW31" i="24"/>
  <c r="AY31" i="24" s="1"/>
  <c r="AZ31" i="24" s="1"/>
  <c r="AU31" i="24"/>
  <c r="BB31" i="24" s="1"/>
  <c r="AW46" i="24"/>
  <c r="AY46" i="24" s="1"/>
  <c r="AZ46" i="24" s="1"/>
  <c r="AU46" i="24"/>
  <c r="BB46" i="24" s="1"/>
  <c r="AW21" i="24"/>
  <c r="AY21" i="24" s="1"/>
  <c r="AZ21" i="24" s="1"/>
  <c r="AU21" i="24"/>
  <c r="BB21" i="24" s="1"/>
  <c r="AW85" i="24"/>
  <c r="AY85" i="24" s="1"/>
  <c r="AZ85" i="24" s="1"/>
  <c r="AU85" i="24"/>
  <c r="BB85" i="24" s="1"/>
  <c r="AW100" i="24"/>
  <c r="AY100" i="24" s="1"/>
  <c r="AZ100" i="24" s="1"/>
  <c r="AU100" i="24"/>
  <c r="BB100" i="24" s="1"/>
  <c r="BV106" i="19"/>
  <c r="CB106" i="19" s="1"/>
  <c r="BW106" i="19"/>
  <c r="CC106" i="19" s="1"/>
  <c r="BV61" i="24" l="1"/>
  <c r="CD61" i="24"/>
  <c r="BV84" i="24"/>
  <c r="CD84" i="24"/>
  <c r="BV45" i="24"/>
  <c r="CD45" i="24"/>
  <c r="BV47" i="24"/>
  <c r="CD47" i="24"/>
  <c r="BV20" i="24"/>
  <c r="CD20" i="24"/>
  <c r="AW166" i="24"/>
  <c r="AY166" i="24" s="1"/>
  <c r="AZ166" i="24" s="1"/>
  <c r="BA179" i="25"/>
  <c r="BB179" i="25"/>
  <c r="BR179" i="25" s="1"/>
  <c r="BC179" i="25"/>
  <c r="BS179" i="25" s="1"/>
  <c r="BA147" i="25"/>
  <c r="BC147" i="25"/>
  <c r="BS147" i="25" s="1"/>
  <c r="BB147" i="25"/>
  <c r="BR147" i="25" s="1"/>
  <c r="BC166" i="25"/>
  <c r="BS166" i="25" s="1"/>
  <c r="BB166" i="25"/>
  <c r="BR166" i="25" s="1"/>
  <c r="BA166" i="25"/>
  <c r="BB124" i="25"/>
  <c r="BR124" i="25" s="1"/>
  <c r="BA124" i="25"/>
  <c r="BC124" i="25"/>
  <c r="BS124" i="25" s="1"/>
  <c r="BB140" i="25"/>
  <c r="BR140" i="25" s="1"/>
  <c r="BC140" i="25"/>
  <c r="BS140" i="25" s="1"/>
  <c r="BA140" i="25"/>
  <c r="BA200" i="25"/>
  <c r="BC200" i="25"/>
  <c r="BS200" i="25" s="1"/>
  <c r="BB200" i="25"/>
  <c r="BR200" i="25" s="1"/>
  <c r="BB129" i="25"/>
  <c r="BR129" i="25" s="1"/>
  <c r="BA129" i="25"/>
  <c r="BC129" i="25"/>
  <c r="BS129" i="25" s="1"/>
  <c r="BB182" i="25"/>
  <c r="BR182" i="25" s="1"/>
  <c r="BC182" i="25"/>
  <c r="BS182" i="25" s="1"/>
  <c r="BA182" i="25"/>
  <c r="BB176" i="25"/>
  <c r="BR176" i="25" s="1"/>
  <c r="BC176" i="25"/>
  <c r="BS176" i="25" s="1"/>
  <c r="BA176" i="25"/>
  <c r="BC149" i="25"/>
  <c r="BS149" i="25" s="1"/>
  <c r="BB149" i="25"/>
  <c r="BR149" i="25" s="1"/>
  <c r="BA149" i="25"/>
  <c r="BB185" i="25"/>
  <c r="BR185" i="25" s="1"/>
  <c r="BC185" i="25"/>
  <c r="BS185" i="25" s="1"/>
  <c r="BA185" i="25"/>
  <c r="BC128" i="25"/>
  <c r="BS128" i="25" s="1"/>
  <c r="BB128" i="25"/>
  <c r="BR128" i="25" s="1"/>
  <c r="BA128" i="25"/>
  <c r="BC116" i="25"/>
  <c r="BS116" i="25" s="1"/>
  <c r="BA116" i="25"/>
  <c r="BB116" i="25"/>
  <c r="BR116" i="25" s="1"/>
  <c r="BC184" i="25"/>
  <c r="BS184" i="25" s="1"/>
  <c r="BA184" i="25"/>
  <c r="BB184" i="25"/>
  <c r="BR184" i="25" s="1"/>
  <c r="BA172" i="25"/>
  <c r="BB172" i="25"/>
  <c r="BR172" i="25" s="1"/>
  <c r="BC172" i="25"/>
  <c r="BS172" i="25" s="1"/>
  <c r="BC151" i="25"/>
  <c r="BS151" i="25" s="1"/>
  <c r="BB151" i="25"/>
  <c r="BR151" i="25" s="1"/>
  <c r="BA151" i="25"/>
  <c r="BB125" i="25"/>
  <c r="BR125" i="25" s="1"/>
  <c r="BA125" i="25"/>
  <c r="BC125" i="25"/>
  <c r="BS125" i="25" s="1"/>
  <c r="BA208" i="25"/>
  <c r="BB208" i="25"/>
  <c r="BR208" i="25" s="1"/>
  <c r="BC208" i="25"/>
  <c r="BS208" i="25" s="1"/>
  <c r="BB141" i="25"/>
  <c r="BR141" i="25" s="1"/>
  <c r="BC141" i="25"/>
  <c r="BS141" i="25" s="1"/>
  <c r="BA141" i="25"/>
  <c r="BB134" i="25"/>
  <c r="BR134" i="25" s="1"/>
  <c r="BC134" i="25"/>
  <c r="BS134" i="25" s="1"/>
  <c r="BA134" i="25"/>
  <c r="BC162" i="25"/>
  <c r="BS162" i="25" s="1"/>
  <c r="BA162" i="25"/>
  <c r="BB162" i="25"/>
  <c r="BR162" i="25" s="1"/>
  <c r="BA130" i="25"/>
  <c r="BB130" i="25"/>
  <c r="BR130" i="25" s="1"/>
  <c r="BC130" i="25"/>
  <c r="BS130" i="25" s="1"/>
  <c r="BC173" i="25"/>
  <c r="BS173" i="25" s="1"/>
  <c r="BA173" i="25"/>
  <c r="BB173" i="25"/>
  <c r="BR173" i="25" s="1"/>
  <c r="BA143" i="25"/>
  <c r="BB143" i="25"/>
  <c r="BR143" i="25" s="1"/>
  <c r="BC143" i="25"/>
  <c r="BS143" i="25" s="1"/>
  <c r="BB187" i="25"/>
  <c r="BR187" i="25" s="1"/>
  <c r="BC187" i="25"/>
  <c r="BS187" i="25" s="1"/>
  <c r="BA187" i="25"/>
  <c r="BC127" i="25"/>
  <c r="BS127" i="25" s="1"/>
  <c r="BB127" i="25"/>
  <c r="BR127" i="25" s="1"/>
  <c r="BA127" i="25"/>
  <c r="BA135" i="25"/>
  <c r="BB135" i="25"/>
  <c r="BR135" i="25" s="1"/>
  <c r="BC135" i="25"/>
  <c r="BS135" i="25" s="1"/>
  <c r="BB167" i="25"/>
  <c r="BR167" i="25" s="1"/>
  <c r="BA167" i="25"/>
  <c r="BC167" i="25"/>
  <c r="BS167" i="25" s="1"/>
  <c r="BC123" i="25"/>
  <c r="BS123" i="25" s="1"/>
  <c r="BA123" i="25"/>
  <c r="BB123" i="25"/>
  <c r="BR123" i="25" s="1"/>
  <c r="BA207" i="25"/>
  <c r="BC207" i="25"/>
  <c r="BS207" i="25" s="1"/>
  <c r="BB207" i="25"/>
  <c r="BR207" i="25" s="1"/>
  <c r="BA203" i="25"/>
  <c r="BC203" i="25"/>
  <c r="BS203" i="25" s="1"/>
  <c r="BB203" i="25"/>
  <c r="BR203" i="25" s="1"/>
  <c r="BC169" i="25"/>
  <c r="BS169" i="25" s="1"/>
  <c r="BA169" i="25"/>
  <c r="BB169" i="25"/>
  <c r="BR169" i="25" s="1"/>
  <c r="BA142" i="25"/>
  <c r="BC142" i="25"/>
  <c r="BS142" i="25" s="1"/>
  <c r="BB142" i="25"/>
  <c r="BR142" i="25" s="1"/>
  <c r="BA168" i="25"/>
  <c r="BC168" i="25"/>
  <c r="BS168" i="25" s="1"/>
  <c r="BB168" i="25"/>
  <c r="BR168" i="25" s="1"/>
  <c r="BA177" i="25"/>
  <c r="BB177" i="25"/>
  <c r="BR177" i="25" s="1"/>
  <c r="BC177" i="25"/>
  <c r="BS177" i="25" s="1"/>
  <c r="BB158" i="25"/>
  <c r="BR158" i="25" s="1"/>
  <c r="BA158" i="25"/>
  <c r="BC158" i="25"/>
  <c r="BS158" i="25" s="1"/>
  <c r="BB164" i="25"/>
  <c r="BR164" i="25" s="1"/>
  <c r="BA164" i="25"/>
  <c r="BC164" i="25"/>
  <c r="BS164" i="25" s="1"/>
  <c r="BA183" i="25"/>
  <c r="BB183" i="25"/>
  <c r="BR183" i="25" s="1"/>
  <c r="BC183" i="25"/>
  <c r="BS183" i="25" s="1"/>
  <c r="BB145" i="25"/>
  <c r="BR145" i="25" s="1"/>
  <c r="BC145" i="25"/>
  <c r="BS145" i="25" s="1"/>
  <c r="BA145" i="25"/>
  <c r="BB113" i="25"/>
  <c r="BR113" i="25" s="1"/>
  <c r="BA113" i="25"/>
  <c r="BC113" i="25"/>
  <c r="BS113" i="25" s="1"/>
  <c r="BC156" i="25"/>
  <c r="BS156" i="25" s="1"/>
  <c r="BA156" i="25"/>
  <c r="BB156" i="25"/>
  <c r="BR156" i="25" s="1"/>
  <c r="BB197" i="25"/>
  <c r="BR197" i="25" s="1"/>
  <c r="BC197" i="25"/>
  <c r="BS197" i="25" s="1"/>
  <c r="BA197" i="25"/>
  <c r="BA119" i="25"/>
  <c r="BC119" i="25"/>
  <c r="BS119" i="25" s="1"/>
  <c r="BB119" i="25"/>
  <c r="BR119" i="25" s="1"/>
  <c r="BB163" i="25"/>
  <c r="BR163" i="25" s="1"/>
  <c r="BA163" i="25"/>
  <c r="BC163" i="25"/>
  <c r="BS163" i="25" s="1"/>
  <c r="BB150" i="25"/>
  <c r="BR150" i="25" s="1"/>
  <c r="BC150" i="25"/>
  <c r="BS150" i="25" s="1"/>
  <c r="BA150" i="25"/>
  <c r="BC186" i="25"/>
  <c r="BS186" i="25" s="1"/>
  <c r="BB186" i="25"/>
  <c r="BR186" i="25" s="1"/>
  <c r="BA186" i="25"/>
  <c r="BA206" i="25"/>
  <c r="BB206" i="25"/>
  <c r="BR206" i="25" s="1"/>
  <c r="BC206" i="25"/>
  <c r="BS206" i="25" s="1"/>
  <c r="BA202" i="25"/>
  <c r="BB202" i="25"/>
  <c r="BR202" i="25" s="1"/>
  <c r="BC202" i="25"/>
  <c r="BS202" i="25" s="1"/>
  <c r="BC111" i="25"/>
  <c r="BS111" i="25" s="1"/>
  <c r="BB111" i="25"/>
  <c r="BR111" i="25" s="1"/>
  <c r="BA111" i="25"/>
  <c r="BC201" i="25"/>
  <c r="BS201" i="25" s="1"/>
  <c r="BA201" i="25"/>
  <c r="BB201" i="25"/>
  <c r="BR201" i="25" s="1"/>
  <c r="BB180" i="25"/>
  <c r="BR180" i="25" s="1"/>
  <c r="BC180" i="25"/>
  <c r="BS180" i="25" s="1"/>
  <c r="BA180" i="25"/>
  <c r="BA199" i="25"/>
  <c r="BB199" i="25"/>
  <c r="BR199" i="25" s="1"/>
  <c r="BC199" i="25"/>
  <c r="BS199" i="25" s="1"/>
  <c r="BC209" i="25"/>
  <c r="BS209" i="25" s="1"/>
  <c r="BB209" i="25"/>
  <c r="BR209" i="25" s="1"/>
  <c r="BA209" i="25"/>
  <c r="BC171" i="25"/>
  <c r="BS171" i="25" s="1"/>
  <c r="BA171" i="25"/>
  <c r="BB171" i="25"/>
  <c r="BR171" i="25" s="1"/>
  <c r="BA120" i="25"/>
  <c r="BB120" i="25"/>
  <c r="BR120" i="25" s="1"/>
  <c r="BC120" i="25"/>
  <c r="BS120" i="25" s="1"/>
  <c r="BA170" i="25"/>
  <c r="BB170" i="25"/>
  <c r="BR170" i="25" s="1"/>
  <c r="BC170" i="25"/>
  <c r="BS170" i="25" s="1"/>
  <c r="BA204" i="25"/>
  <c r="BB204" i="25"/>
  <c r="BR204" i="25" s="1"/>
  <c r="BC204" i="25"/>
  <c r="BS204" i="25" s="1"/>
  <c r="BA192" i="25"/>
  <c r="BB192" i="25"/>
  <c r="BR192" i="25" s="1"/>
  <c r="BC192" i="25"/>
  <c r="BS192" i="25" s="1"/>
  <c r="BB161" i="25"/>
  <c r="BR161" i="25" s="1"/>
  <c r="BA161" i="25"/>
  <c r="BC161" i="25"/>
  <c r="BS161" i="25" s="1"/>
  <c r="BC114" i="25"/>
  <c r="BS114" i="25" s="1"/>
  <c r="BA114" i="25"/>
  <c r="BB114" i="25"/>
  <c r="BR114" i="25" s="1"/>
  <c r="BC139" i="25"/>
  <c r="BS139" i="25" s="1"/>
  <c r="BB139" i="25"/>
  <c r="BR139" i="25" s="1"/>
  <c r="BA139" i="25"/>
  <c r="BA152" i="25"/>
  <c r="BB152" i="25"/>
  <c r="BR152" i="25" s="1"/>
  <c r="BC152" i="25"/>
  <c r="BS152" i="25" s="1"/>
  <c r="BA159" i="25"/>
  <c r="BB159" i="25"/>
  <c r="BR159" i="25" s="1"/>
  <c r="BC159" i="25"/>
  <c r="BS159" i="25" s="1"/>
  <c r="BA198" i="25"/>
  <c r="BB198" i="25"/>
  <c r="BR198" i="25" s="1"/>
  <c r="BC198" i="25"/>
  <c r="BS198" i="25" s="1"/>
  <c r="BA174" i="25"/>
  <c r="BC174" i="25"/>
  <c r="BS174" i="25" s="1"/>
  <c r="BB174" i="25"/>
  <c r="BR174" i="25" s="1"/>
  <c r="BC196" i="25"/>
  <c r="BS196" i="25" s="1"/>
  <c r="BB196" i="25"/>
  <c r="BR196" i="25" s="1"/>
  <c r="BA196" i="25"/>
  <c r="BB195" i="25"/>
  <c r="BR195" i="25" s="1"/>
  <c r="BC195" i="25"/>
  <c r="BS195" i="25" s="1"/>
  <c r="BA195" i="25"/>
  <c r="BC126" i="25"/>
  <c r="BS126" i="25" s="1"/>
  <c r="BB126" i="25"/>
  <c r="BR126" i="25" s="1"/>
  <c r="BA126" i="25"/>
  <c r="BA188" i="25"/>
  <c r="BB188" i="25"/>
  <c r="BR188" i="25" s="1"/>
  <c r="BC188" i="25"/>
  <c r="BS188" i="25" s="1"/>
  <c r="BA133" i="25"/>
  <c r="BB133" i="25"/>
  <c r="BR133" i="25" s="1"/>
  <c r="BC133" i="25"/>
  <c r="BS133" i="25" s="1"/>
  <c r="BA118" i="25"/>
  <c r="BC118" i="25"/>
  <c r="BS118" i="25" s="1"/>
  <c r="BB118" i="25"/>
  <c r="BR118" i="25" s="1"/>
  <c r="BB153" i="25"/>
  <c r="BR153" i="25" s="1"/>
  <c r="BC153" i="25"/>
  <c r="BS153" i="25" s="1"/>
  <c r="BA153" i="25"/>
  <c r="BA190" i="25"/>
  <c r="BC190" i="25"/>
  <c r="BS190" i="25" s="1"/>
  <c r="BB190" i="25"/>
  <c r="BR190" i="25" s="1"/>
  <c r="BC154" i="25"/>
  <c r="BS154" i="25" s="1"/>
  <c r="BA154" i="25"/>
  <c r="BB154" i="25"/>
  <c r="BR154" i="25" s="1"/>
  <c r="BA146" i="25"/>
  <c r="BC146" i="25"/>
  <c r="BS146" i="25" s="1"/>
  <c r="BB146" i="25"/>
  <c r="BR146" i="25" s="1"/>
  <c r="BC117" i="25"/>
  <c r="BS117" i="25" s="1"/>
  <c r="BB117" i="25"/>
  <c r="BR117" i="25" s="1"/>
  <c r="BA117" i="25"/>
  <c r="BA157" i="25"/>
  <c r="BC157" i="25"/>
  <c r="BS157" i="25" s="1"/>
  <c r="BB157" i="25"/>
  <c r="BR157" i="25" s="1"/>
  <c r="BA193" i="25"/>
  <c r="BB193" i="25"/>
  <c r="BR193" i="25" s="1"/>
  <c r="BC193" i="25"/>
  <c r="BS193" i="25" s="1"/>
  <c r="BA137" i="25"/>
  <c r="BC137" i="25"/>
  <c r="BS137" i="25" s="1"/>
  <c r="BB137" i="25"/>
  <c r="BR137" i="25" s="1"/>
  <c r="BC165" i="25"/>
  <c r="BS165" i="25" s="1"/>
  <c r="BB165" i="25"/>
  <c r="BR165" i="25" s="1"/>
  <c r="BA165" i="25"/>
  <c r="BA155" i="25"/>
  <c r="BC155" i="25"/>
  <c r="BS155" i="25" s="1"/>
  <c r="BB155" i="25"/>
  <c r="BR155" i="25" s="1"/>
  <c r="BA132" i="25"/>
  <c r="BC132" i="25"/>
  <c r="BS132" i="25" s="1"/>
  <c r="BB132" i="25"/>
  <c r="BR132" i="25" s="1"/>
  <c r="BA131" i="25"/>
  <c r="BB131" i="25"/>
  <c r="BR131" i="25" s="1"/>
  <c r="BC131" i="25"/>
  <c r="BS131" i="25" s="1"/>
  <c r="BC138" i="25"/>
  <c r="BS138" i="25" s="1"/>
  <c r="BB138" i="25"/>
  <c r="BR138" i="25" s="1"/>
  <c r="BA138" i="25"/>
  <c r="BC189" i="25"/>
  <c r="BS189" i="25" s="1"/>
  <c r="BA189" i="25"/>
  <c r="BB189" i="25"/>
  <c r="BR189" i="25" s="1"/>
  <c r="BA181" i="25"/>
  <c r="BB181" i="25"/>
  <c r="BR181" i="25" s="1"/>
  <c r="BC181" i="25"/>
  <c r="BS181" i="25" s="1"/>
  <c r="BC144" i="25"/>
  <c r="BS144" i="25" s="1"/>
  <c r="BA144" i="25"/>
  <c r="BB144" i="25"/>
  <c r="BR144" i="25" s="1"/>
  <c r="BA205" i="25"/>
  <c r="BB205" i="25"/>
  <c r="BR205" i="25" s="1"/>
  <c r="BC205" i="25"/>
  <c r="BS205" i="25" s="1"/>
  <c r="BA160" i="25"/>
  <c r="BB160" i="25"/>
  <c r="BR160" i="25" s="1"/>
  <c r="BC160" i="25"/>
  <c r="BS160" i="25" s="1"/>
  <c r="BC112" i="25"/>
  <c r="BS112" i="25" s="1"/>
  <c r="BB112" i="25"/>
  <c r="BR112" i="25" s="1"/>
  <c r="BA112" i="25"/>
  <c r="BA178" i="25"/>
  <c r="BB178" i="25"/>
  <c r="BR178" i="25" s="1"/>
  <c r="BC178" i="25"/>
  <c r="BS178" i="25" s="1"/>
  <c r="BC115" i="25"/>
  <c r="BS115" i="25" s="1"/>
  <c r="BA115" i="25"/>
  <c r="BB115" i="25"/>
  <c r="BR115" i="25" s="1"/>
  <c r="BC122" i="25"/>
  <c r="BS122" i="25" s="1"/>
  <c r="BA122" i="25"/>
  <c r="BB122" i="25"/>
  <c r="BR122" i="25" s="1"/>
  <c r="BC194" i="25"/>
  <c r="BS194" i="25" s="1"/>
  <c r="BA194" i="25"/>
  <c r="BB194" i="25"/>
  <c r="BR194" i="25" s="1"/>
  <c r="BA121" i="25"/>
  <c r="BB121" i="25"/>
  <c r="BR121" i="25" s="1"/>
  <c r="BC121" i="25"/>
  <c r="BS121" i="25" s="1"/>
  <c r="BB136" i="25"/>
  <c r="BR136" i="25" s="1"/>
  <c r="BA136" i="25"/>
  <c r="BC136" i="25"/>
  <c r="BS136" i="25" s="1"/>
  <c r="BC148" i="25"/>
  <c r="BS148" i="25" s="1"/>
  <c r="BB148" i="25"/>
  <c r="BR148" i="25" s="1"/>
  <c r="BA148" i="25"/>
  <c r="BB175" i="25"/>
  <c r="BR175" i="25" s="1"/>
  <c r="BC175" i="25"/>
  <c r="BS175" i="25" s="1"/>
  <c r="BA175" i="25"/>
  <c r="BC191" i="25"/>
  <c r="BS191" i="25" s="1"/>
  <c r="BA191" i="25"/>
  <c r="BB191" i="25"/>
  <c r="BR191" i="25" s="1"/>
  <c r="BA210" i="25"/>
  <c r="BC210" i="25"/>
  <c r="BS210" i="25" s="1"/>
  <c r="BB210" i="25"/>
  <c r="BR210" i="25" s="1"/>
  <c r="AU122" i="24"/>
  <c r="AW167" i="24"/>
  <c r="BE167" i="24" s="1"/>
  <c r="BS167" i="24" s="1"/>
  <c r="AW115" i="24"/>
  <c r="BE115" i="24" s="1"/>
  <c r="BS115" i="24" s="1"/>
  <c r="AW165" i="24"/>
  <c r="BE165" i="24" s="1"/>
  <c r="BS165" i="24" s="1"/>
  <c r="BE120" i="24"/>
  <c r="BS120" i="24" s="1"/>
  <c r="BD120" i="24"/>
  <c r="AY120" i="24"/>
  <c r="AZ120" i="24" s="1"/>
  <c r="BE145" i="24"/>
  <c r="BS145" i="24" s="1"/>
  <c r="AY145" i="24"/>
  <c r="AZ145" i="24" s="1"/>
  <c r="BD145" i="24"/>
  <c r="BD154" i="24"/>
  <c r="BE154" i="24"/>
  <c r="BS154" i="24" s="1"/>
  <c r="AY154" i="24"/>
  <c r="AZ154" i="24" s="1"/>
  <c r="BD122" i="24"/>
  <c r="BE122" i="24"/>
  <c r="BS122" i="24" s="1"/>
  <c r="AY122" i="24"/>
  <c r="AZ122" i="24" s="1"/>
  <c r="BD116" i="24"/>
  <c r="AY116" i="24"/>
  <c r="AZ116" i="24" s="1"/>
  <c r="BE116" i="24"/>
  <c r="BS116" i="24" s="1"/>
  <c r="BD133" i="24"/>
  <c r="BE133" i="24"/>
  <c r="BS133" i="24" s="1"/>
  <c r="AY133" i="24"/>
  <c r="AZ133" i="24" s="1"/>
  <c r="BD139" i="24"/>
  <c r="BE139" i="24"/>
  <c r="BS139" i="24" s="1"/>
  <c r="AY139" i="24"/>
  <c r="AZ139" i="24" s="1"/>
  <c r="BE175" i="24"/>
  <c r="BS175" i="24" s="1"/>
  <c r="AY175" i="24"/>
  <c r="AZ175" i="24" s="1"/>
  <c r="BD175" i="24"/>
  <c r="BE200" i="24"/>
  <c r="BS200" i="24" s="1"/>
  <c r="BD200" i="24"/>
  <c r="AY200" i="24"/>
  <c r="AZ200" i="24" s="1"/>
  <c r="BD183" i="24"/>
  <c r="AY183" i="24"/>
  <c r="AZ183" i="24" s="1"/>
  <c r="BE183" i="24"/>
  <c r="BS183" i="24" s="1"/>
  <c r="BD118" i="24"/>
  <c r="AY118" i="24"/>
  <c r="AZ118" i="24" s="1"/>
  <c r="BE118" i="24"/>
  <c r="BS118" i="24" s="1"/>
  <c r="AY124" i="24"/>
  <c r="AZ124" i="24" s="1"/>
  <c r="BE124" i="24"/>
  <c r="BS124" i="24" s="1"/>
  <c r="BD124" i="24"/>
  <c r="AY158" i="24"/>
  <c r="AZ158" i="24" s="1"/>
  <c r="BD158" i="24"/>
  <c r="BE158" i="24"/>
  <c r="BS158" i="24" s="1"/>
  <c r="BE151" i="24"/>
  <c r="BS151" i="24" s="1"/>
  <c r="AY151" i="24"/>
  <c r="AZ151" i="24" s="1"/>
  <c r="BD151" i="24"/>
  <c r="AY185" i="24"/>
  <c r="AZ185" i="24" s="1"/>
  <c r="BE185" i="24"/>
  <c r="BS185" i="24" s="1"/>
  <c r="BD185" i="24"/>
  <c r="BD131" i="24"/>
  <c r="AY131" i="24"/>
  <c r="AZ131" i="24" s="1"/>
  <c r="BE131" i="24"/>
  <c r="BS131" i="24" s="1"/>
  <c r="BD205" i="24"/>
  <c r="BE205" i="24"/>
  <c r="BS205" i="24" s="1"/>
  <c r="AY205" i="24"/>
  <c r="AZ205" i="24" s="1"/>
  <c r="BD204" i="24"/>
  <c r="BE204" i="24"/>
  <c r="BS204" i="24" s="1"/>
  <c r="AY204" i="24"/>
  <c r="AZ204" i="24" s="1"/>
  <c r="BE132" i="24"/>
  <c r="BS132" i="24" s="1"/>
  <c r="BD132" i="24"/>
  <c r="AY132" i="24"/>
  <c r="AZ132" i="24" s="1"/>
  <c r="BE135" i="24"/>
  <c r="BS135" i="24" s="1"/>
  <c r="BD135" i="24"/>
  <c r="AY135" i="24"/>
  <c r="AZ135" i="24" s="1"/>
  <c r="BD207" i="24"/>
  <c r="BE207" i="24"/>
  <c r="BS207" i="24" s="1"/>
  <c r="AY207" i="24"/>
  <c r="AZ207" i="24" s="1"/>
  <c r="BD163" i="24"/>
  <c r="AY163" i="24"/>
  <c r="AZ163" i="24" s="1"/>
  <c r="BE163" i="24"/>
  <c r="BS163" i="24" s="1"/>
  <c r="BD184" i="24"/>
  <c r="AY184" i="24"/>
  <c r="AZ184" i="24" s="1"/>
  <c r="BE184" i="24"/>
  <c r="BS184" i="24" s="1"/>
  <c r="BD162" i="24"/>
  <c r="BE162" i="24"/>
  <c r="BS162" i="24" s="1"/>
  <c r="AY162" i="24"/>
  <c r="AZ162" i="24" s="1"/>
  <c r="BD117" i="24"/>
  <c r="AY117" i="24"/>
  <c r="AZ117" i="24" s="1"/>
  <c r="BE117" i="24"/>
  <c r="BS117" i="24" s="1"/>
  <c r="BD128" i="24"/>
  <c r="AY128" i="24"/>
  <c r="AZ128" i="24" s="1"/>
  <c r="BE128" i="24"/>
  <c r="BS128" i="24" s="1"/>
  <c r="BE164" i="24"/>
  <c r="BS164" i="24" s="1"/>
  <c r="BD164" i="24"/>
  <c r="AY164" i="24"/>
  <c r="AZ164" i="24" s="1"/>
  <c r="AY179" i="24"/>
  <c r="AZ179" i="24" s="1"/>
  <c r="BD179" i="24"/>
  <c r="BE179" i="24"/>
  <c r="BS179" i="24" s="1"/>
  <c r="BD138" i="24"/>
  <c r="BE138" i="24"/>
  <c r="BS138" i="24" s="1"/>
  <c r="AY138" i="24"/>
  <c r="AZ138" i="24" s="1"/>
  <c r="BD148" i="24"/>
  <c r="AY148" i="24"/>
  <c r="AZ148" i="24" s="1"/>
  <c r="BE148" i="24"/>
  <c r="BS148" i="24" s="1"/>
  <c r="BD111" i="24"/>
  <c r="BE111" i="24"/>
  <c r="BS111" i="24" s="1"/>
  <c r="AY111" i="24"/>
  <c r="AZ111" i="24" s="1"/>
  <c r="BE143" i="24"/>
  <c r="BS143" i="24" s="1"/>
  <c r="BD143" i="24"/>
  <c r="AY143" i="24"/>
  <c r="AZ143" i="24" s="1"/>
  <c r="AY160" i="24"/>
  <c r="AZ160" i="24" s="1"/>
  <c r="BE160" i="24"/>
  <c r="BS160" i="24" s="1"/>
  <c r="BD160" i="24"/>
  <c r="BD166" i="24"/>
  <c r="BE153" i="24"/>
  <c r="BS153" i="24" s="1"/>
  <c r="BD153" i="24"/>
  <c r="AY153" i="24"/>
  <c r="AZ153" i="24" s="1"/>
  <c r="AY177" i="24"/>
  <c r="AZ177" i="24" s="1"/>
  <c r="BE177" i="24"/>
  <c r="BS177" i="24" s="1"/>
  <c r="BD177" i="24"/>
  <c r="AY142" i="24"/>
  <c r="AZ142" i="24" s="1"/>
  <c r="BD142" i="24"/>
  <c r="BE142" i="24"/>
  <c r="BS142" i="24" s="1"/>
  <c r="BD178" i="24"/>
  <c r="AY178" i="24"/>
  <c r="AZ178" i="24" s="1"/>
  <c r="BE178" i="24"/>
  <c r="BS178" i="24" s="1"/>
  <c r="BE171" i="24"/>
  <c r="BS171" i="24" s="1"/>
  <c r="BD171" i="24"/>
  <c r="AY171" i="24"/>
  <c r="AZ171" i="24" s="1"/>
  <c r="BE121" i="24"/>
  <c r="BS121" i="24" s="1"/>
  <c r="AY121" i="24"/>
  <c r="AZ121" i="24" s="1"/>
  <c r="BD121" i="24"/>
  <c r="AY180" i="24"/>
  <c r="AZ180" i="24" s="1"/>
  <c r="BE180" i="24"/>
  <c r="BS180" i="24" s="1"/>
  <c r="BD180" i="24"/>
  <c r="AY187" i="24"/>
  <c r="AZ187" i="24" s="1"/>
  <c r="BE187" i="24"/>
  <c r="BS187" i="24" s="1"/>
  <c r="BD187" i="24"/>
  <c r="AY197" i="24"/>
  <c r="AZ197" i="24" s="1"/>
  <c r="BD197" i="24"/>
  <c r="BE197" i="24"/>
  <c r="BS197" i="24" s="1"/>
  <c r="AY190" i="24"/>
  <c r="AZ190" i="24" s="1"/>
  <c r="BD190" i="24"/>
  <c r="BE190" i="24"/>
  <c r="BS190" i="24" s="1"/>
  <c r="AY137" i="24"/>
  <c r="AZ137" i="24" s="1"/>
  <c r="BE137" i="24"/>
  <c r="BS137" i="24" s="1"/>
  <c r="BD137" i="24"/>
  <c r="BD173" i="24"/>
  <c r="BE173" i="24"/>
  <c r="BS173" i="24" s="1"/>
  <c r="AY173" i="24"/>
  <c r="AZ173" i="24" s="1"/>
  <c r="BD125" i="24"/>
  <c r="BE125" i="24"/>
  <c r="BS125" i="24" s="1"/>
  <c r="AY125" i="24"/>
  <c r="AZ125" i="24" s="1"/>
  <c r="BE113" i="24"/>
  <c r="BS113" i="24" s="1"/>
  <c r="AY113" i="24"/>
  <c r="AZ113" i="24" s="1"/>
  <c r="BD113" i="24"/>
  <c r="BD129" i="24"/>
  <c r="BE129" i="24"/>
  <c r="BS129" i="24" s="1"/>
  <c r="AY129" i="24"/>
  <c r="AZ129" i="24" s="1"/>
  <c r="BD201" i="24"/>
  <c r="AY201" i="24"/>
  <c r="AZ201" i="24" s="1"/>
  <c r="BE201" i="24"/>
  <c r="BS201" i="24" s="1"/>
  <c r="BE186" i="24"/>
  <c r="BS186" i="24" s="1"/>
  <c r="AY186" i="24"/>
  <c r="AZ186" i="24" s="1"/>
  <c r="BD186" i="24"/>
  <c r="BD147" i="24"/>
  <c r="AY147" i="24"/>
  <c r="AZ147" i="24" s="1"/>
  <c r="BE147" i="24"/>
  <c r="BS147" i="24" s="1"/>
  <c r="BE152" i="24"/>
  <c r="BS152" i="24" s="1"/>
  <c r="BD152" i="24"/>
  <c r="AY152" i="24"/>
  <c r="AZ152" i="24" s="1"/>
  <c r="BD126" i="24"/>
  <c r="BE126" i="24"/>
  <c r="BS126" i="24" s="1"/>
  <c r="AY126" i="24"/>
  <c r="AZ126" i="24" s="1"/>
  <c r="BE127" i="24"/>
  <c r="BS127" i="24" s="1"/>
  <c r="AY127" i="24"/>
  <c r="AZ127" i="24" s="1"/>
  <c r="BD127" i="24"/>
  <c r="BE140" i="24"/>
  <c r="BS140" i="24" s="1"/>
  <c r="BD140" i="24"/>
  <c r="AY140" i="24"/>
  <c r="AZ140" i="24" s="1"/>
  <c r="BD144" i="24"/>
  <c r="AY144" i="24"/>
  <c r="AZ144" i="24" s="1"/>
  <c r="BE144" i="24"/>
  <c r="BS144" i="24" s="1"/>
  <c r="BE202" i="24"/>
  <c r="BS202" i="24" s="1"/>
  <c r="AY202" i="24"/>
  <c r="AZ202" i="24" s="1"/>
  <c r="BD202" i="24"/>
  <c r="BD196" i="24"/>
  <c r="AY196" i="24"/>
  <c r="AZ196" i="24" s="1"/>
  <c r="BE196" i="24"/>
  <c r="BS196" i="24" s="1"/>
  <c r="AY157" i="24"/>
  <c r="AZ157" i="24" s="1"/>
  <c r="BE157" i="24"/>
  <c r="BS157" i="24" s="1"/>
  <c r="BD157" i="24"/>
  <c r="AY174" i="24"/>
  <c r="AZ174" i="24" s="1"/>
  <c r="BD174" i="24"/>
  <c r="BE174" i="24"/>
  <c r="BS174" i="24" s="1"/>
  <c r="BE198" i="24"/>
  <c r="BS198" i="24" s="1"/>
  <c r="AY198" i="24"/>
  <c r="AZ198" i="24" s="1"/>
  <c r="BD198" i="24"/>
  <c r="BD150" i="24"/>
  <c r="AY150" i="24"/>
  <c r="AZ150" i="24" s="1"/>
  <c r="BE150" i="24"/>
  <c r="BS150" i="24" s="1"/>
  <c r="BE170" i="24"/>
  <c r="BS170" i="24" s="1"/>
  <c r="AY170" i="24"/>
  <c r="AZ170" i="24" s="1"/>
  <c r="BD170" i="24"/>
  <c r="BD146" i="24"/>
  <c r="BE146" i="24"/>
  <c r="BS146" i="24" s="1"/>
  <c r="AY146" i="24"/>
  <c r="AZ146" i="24" s="1"/>
  <c r="BV58" i="24"/>
  <c r="CD58" i="24"/>
  <c r="BA58" i="25"/>
  <c r="BQ58" i="25" s="1"/>
  <c r="BB58" i="25"/>
  <c r="AZ69" i="24"/>
  <c r="AZ95" i="24"/>
  <c r="AU152" i="24"/>
  <c r="AZ91" i="24"/>
  <c r="AZ78" i="24"/>
  <c r="AX15" i="24"/>
  <c r="BV15" i="24"/>
  <c r="AX88" i="24"/>
  <c r="BV88" i="24"/>
  <c r="BV67" i="24"/>
  <c r="BV103" i="24"/>
  <c r="BV90" i="24"/>
  <c r="BV94" i="24"/>
  <c r="AZ87" i="24"/>
  <c r="AZ105" i="24"/>
  <c r="BV9" i="24"/>
  <c r="AQ99" i="24"/>
  <c r="BV99" i="24"/>
  <c r="AQ102" i="24"/>
  <c r="BV102" i="24"/>
  <c r="AQ13" i="24"/>
  <c r="BV13" i="24"/>
  <c r="BV71" i="24"/>
  <c r="BV93" i="24"/>
  <c r="CD6" i="24"/>
  <c r="BV6" i="24"/>
  <c r="BV77" i="24"/>
  <c r="AU278" i="24"/>
  <c r="AU78" i="24"/>
  <c r="BB78" i="24" s="1"/>
  <c r="AU217" i="24"/>
  <c r="AW305" i="24"/>
  <c r="AW182" i="24"/>
  <c r="AU70" i="24"/>
  <c r="BB70" i="24" s="1"/>
  <c r="AW193" i="24"/>
  <c r="AZ70" i="24"/>
  <c r="AX49" i="24"/>
  <c r="CD49" i="24"/>
  <c r="AW203" i="24"/>
  <c r="AW260" i="24"/>
  <c r="AU132" i="24"/>
  <c r="AZ60" i="24"/>
  <c r="AW238" i="24"/>
  <c r="AW289" i="24"/>
  <c r="AU128" i="24"/>
  <c r="AW191" i="24"/>
  <c r="AW73" i="24"/>
  <c r="AY73" i="24" s="1"/>
  <c r="AZ73" i="24" s="1"/>
  <c r="AW33" i="24"/>
  <c r="AY33" i="24" s="1"/>
  <c r="AZ33" i="24" s="1"/>
  <c r="AW176" i="24"/>
  <c r="AW159" i="24"/>
  <c r="AU255" i="24"/>
  <c r="AW114" i="24"/>
  <c r="AW242" i="24"/>
  <c r="AU226" i="24"/>
  <c r="AW311" i="24"/>
  <c r="AW291" i="24"/>
  <c r="AW312" i="24"/>
  <c r="AU204" i="24"/>
  <c r="AW189" i="24"/>
  <c r="AW225" i="24"/>
  <c r="AW209" i="24"/>
  <c r="AU147" i="24"/>
  <c r="AU146" i="24"/>
  <c r="AU81" i="24"/>
  <c r="BB81" i="24" s="1"/>
  <c r="AZ55" i="24"/>
  <c r="AW181" i="24"/>
  <c r="AW130" i="24"/>
  <c r="AU55" i="24"/>
  <c r="BB55" i="24" s="1"/>
  <c r="AW295" i="24"/>
  <c r="AU170" i="24"/>
  <c r="AQ98" i="24"/>
  <c r="CD98" i="24"/>
  <c r="AU25" i="24"/>
  <c r="BB25" i="24" s="1"/>
  <c r="AW206" i="24"/>
  <c r="AW168" i="24"/>
  <c r="AW265" i="24"/>
  <c r="AU308" i="24"/>
  <c r="AW188" i="24"/>
  <c r="AU150" i="24"/>
  <c r="AU198" i="24"/>
  <c r="AW195" i="24"/>
  <c r="AW156" i="24"/>
  <c r="AW284" i="24"/>
  <c r="AW232" i="24"/>
  <c r="AW306" i="24"/>
  <c r="AU162" i="24"/>
  <c r="AW112" i="24"/>
  <c r="AU117" i="24"/>
  <c r="AU10" i="24"/>
  <c r="BB10" i="24" s="1"/>
  <c r="AU174" i="24"/>
  <c r="AW199" i="24"/>
  <c r="BD104" i="24"/>
  <c r="BG104" i="24" s="1"/>
  <c r="BL104" i="24" s="1"/>
  <c r="BM104" i="24" s="1"/>
  <c r="AZ10" i="24"/>
  <c r="AW136" i="24"/>
  <c r="AW51" i="24"/>
  <c r="AY51" i="24" s="1"/>
  <c r="AZ51" i="24" s="1"/>
  <c r="AU205" i="24"/>
  <c r="AU60" i="24"/>
  <c r="BB60" i="24" s="1"/>
  <c r="AW123" i="24"/>
  <c r="AU184" i="24"/>
  <c r="AU163" i="24"/>
  <c r="AW208" i="24"/>
  <c r="AW119" i="24"/>
  <c r="AZ101" i="24"/>
  <c r="AW110" i="24"/>
  <c r="AU196" i="24"/>
  <c r="AU95" i="24"/>
  <c r="BB95" i="24" s="1"/>
  <c r="AW141" i="24"/>
  <c r="AU157" i="24"/>
  <c r="AW86" i="24"/>
  <c r="AY86" i="24" s="1"/>
  <c r="AZ86" i="24" s="1"/>
  <c r="AW149" i="24"/>
  <c r="AU186" i="24"/>
  <c r="AZ41" i="24"/>
  <c r="AU101" i="24"/>
  <c r="BB101" i="24" s="1"/>
  <c r="AW23" i="24"/>
  <c r="AY23" i="24" s="1"/>
  <c r="AZ23" i="24" s="1"/>
  <c r="AW194" i="24"/>
  <c r="AW192" i="24"/>
  <c r="AU131" i="24"/>
  <c r="AU41" i="24"/>
  <c r="BB41" i="24" s="1"/>
  <c r="AU105" i="24"/>
  <c r="B127" i="2" s="1"/>
  <c r="AW97" i="24"/>
  <c r="AY97" i="24" s="1"/>
  <c r="AZ97" i="24" s="1"/>
  <c r="AW210" i="24"/>
  <c r="AW172" i="24"/>
  <c r="AW161" i="24"/>
  <c r="AW43" i="24"/>
  <c r="AY43" i="24" s="1"/>
  <c r="AZ43" i="24" s="1"/>
  <c r="AW64" i="24"/>
  <c r="AY64" i="24" s="1"/>
  <c r="AZ64" i="24" s="1"/>
  <c r="BE104" i="24"/>
  <c r="BS104" i="24" s="1"/>
  <c r="AU14" i="24"/>
  <c r="BB14" i="24" s="1"/>
  <c r="AW27" i="24"/>
  <c r="AY27" i="24" s="1"/>
  <c r="AZ27" i="24" s="1"/>
  <c r="AQ88" i="24"/>
  <c r="AU207" i="24"/>
  <c r="AZ14" i="24"/>
  <c r="AW155" i="24"/>
  <c r="BJ49" i="24"/>
  <c r="AS49" i="24"/>
  <c r="AW49" i="24" s="1"/>
  <c r="AY49" i="24" s="1"/>
  <c r="BJ88" i="24"/>
  <c r="BT88" i="24"/>
  <c r="AU50" i="24"/>
  <c r="BB50" i="24" s="1"/>
  <c r="BH88" i="24"/>
  <c r="AS88" i="24"/>
  <c r="AW88" i="24" s="1"/>
  <c r="AY88" i="24" s="1"/>
  <c r="BI88" i="24"/>
  <c r="AW169" i="24"/>
  <c r="AU91" i="24"/>
  <c r="BB91" i="24" s="1"/>
  <c r="AQ49" i="24"/>
  <c r="BT13" i="24"/>
  <c r="AW134" i="24"/>
  <c r="BH49" i="24"/>
  <c r="AW65" i="24"/>
  <c r="AY65" i="24" s="1"/>
  <c r="AZ65" i="24" s="1"/>
  <c r="AU110" i="25"/>
  <c r="AS71" i="24"/>
  <c r="BT71" i="24"/>
  <c r="AU87" i="24"/>
  <c r="BB87" i="24" s="1"/>
  <c r="AW35" i="24"/>
  <c r="AY35" i="24" s="1"/>
  <c r="AZ35" i="24" s="1"/>
  <c r="BI49" i="24"/>
  <c r="BI71" i="24"/>
  <c r="BH71" i="24"/>
  <c r="AW81" i="24"/>
  <c r="AY81" i="24" s="1"/>
  <c r="AZ81" i="24" s="1"/>
  <c r="BT49" i="24"/>
  <c r="AX71" i="24"/>
  <c r="AQ71" i="24"/>
  <c r="AW22" i="24"/>
  <c r="AY22" i="24" s="1"/>
  <c r="AZ22" i="24" s="1"/>
  <c r="AX13" i="24"/>
  <c r="AS13" i="24"/>
  <c r="BH13" i="24"/>
  <c r="BJ13" i="24"/>
  <c r="BD34" i="24"/>
  <c r="BG34" i="24" s="1"/>
  <c r="BL34" i="24" s="1"/>
  <c r="BM34" i="24" s="1"/>
  <c r="AS15" i="24"/>
  <c r="BJ15" i="24"/>
  <c r="BI15" i="24"/>
  <c r="AU34" i="24"/>
  <c r="BB34" i="24" s="1"/>
  <c r="BE34" i="24"/>
  <c r="BS34" i="24" s="1"/>
  <c r="BD69" i="24"/>
  <c r="BR69" i="24" s="1"/>
  <c r="BR5" i="24"/>
  <c r="BE69" i="24"/>
  <c r="BS69" i="24" s="1"/>
  <c r="AU69" i="24"/>
  <c r="BB69" i="24" s="1"/>
  <c r="BH15" i="24"/>
  <c r="BT15" i="24"/>
  <c r="AQ15" i="24"/>
  <c r="AU22" i="24"/>
  <c r="BB22" i="24" s="1"/>
  <c r="BI102" i="24"/>
  <c r="AS102" i="24"/>
  <c r="BH102" i="24"/>
  <c r="AX102" i="24"/>
  <c r="BJ102" i="24"/>
  <c r="BT102" i="24"/>
  <c r="BH48" i="24"/>
  <c r="AX48" i="24"/>
  <c r="BI48" i="24"/>
  <c r="AQ48" i="24"/>
  <c r="BT48" i="24"/>
  <c r="BJ48" i="24"/>
  <c r="AS48" i="24"/>
  <c r="AX93" i="24"/>
  <c r="BI93" i="24"/>
  <c r="AS93" i="24"/>
  <c r="BH93" i="24"/>
  <c r="BJ93" i="24"/>
  <c r="AQ93" i="24"/>
  <c r="BT93" i="24"/>
  <c r="AX8" i="24"/>
  <c r="BJ8" i="24"/>
  <c r="AQ8" i="24"/>
  <c r="BI8" i="24"/>
  <c r="AS8" i="24"/>
  <c r="BH8" i="24"/>
  <c r="BT8" i="24"/>
  <c r="AX37" i="24"/>
  <c r="BI37" i="24"/>
  <c r="AS37" i="24"/>
  <c r="BJ37" i="24"/>
  <c r="AQ37" i="24"/>
  <c r="BT37" i="24"/>
  <c r="BH37" i="24"/>
  <c r="BT94" i="24"/>
  <c r="AX94" i="24"/>
  <c r="AQ94" i="24"/>
  <c r="BH94" i="24"/>
  <c r="BJ94" i="24"/>
  <c r="AS94" i="24"/>
  <c r="BI94" i="24"/>
  <c r="BH16" i="24"/>
  <c r="BT16" i="24"/>
  <c r="BJ16" i="24"/>
  <c r="AQ16" i="24"/>
  <c r="AS16" i="24"/>
  <c r="BI16" i="24"/>
  <c r="AX16" i="24"/>
  <c r="BH75" i="24"/>
  <c r="BJ75" i="24"/>
  <c r="AQ75" i="24"/>
  <c r="AS75" i="24"/>
  <c r="AX75" i="24"/>
  <c r="BI75" i="24"/>
  <c r="BT75" i="24"/>
  <c r="BH57" i="24"/>
  <c r="BI57" i="24"/>
  <c r="BT57" i="24"/>
  <c r="AS57" i="24"/>
  <c r="AQ57" i="24"/>
  <c r="BJ57" i="24"/>
  <c r="AX57" i="24"/>
  <c r="BJ47" i="24"/>
  <c r="AQ47" i="24"/>
  <c r="BI47" i="24"/>
  <c r="AX47" i="24"/>
  <c r="BH47" i="24"/>
  <c r="BT47" i="24"/>
  <c r="AS47" i="24"/>
  <c r="AX99" i="24"/>
  <c r="BH99" i="24"/>
  <c r="AS99" i="24"/>
  <c r="BT99" i="24"/>
  <c r="BJ99" i="24"/>
  <c r="BI99" i="24"/>
  <c r="AX103" i="24"/>
  <c r="AS103" i="24"/>
  <c r="BH103" i="24"/>
  <c r="BI103" i="24"/>
  <c r="BJ103" i="24"/>
  <c r="BT103" i="24"/>
  <c r="BT98" i="24"/>
  <c r="BH98" i="24"/>
  <c r="BI98" i="24"/>
  <c r="AX98" i="24"/>
  <c r="AS98" i="24"/>
  <c r="BJ98" i="24"/>
  <c r="BH45" i="24"/>
  <c r="AS45" i="24"/>
  <c r="AX45" i="24"/>
  <c r="BT45" i="24"/>
  <c r="BJ45" i="24"/>
  <c r="BI45" i="24"/>
  <c r="AQ45" i="24"/>
  <c r="BH24" i="24"/>
  <c r="BJ24" i="24"/>
  <c r="AS24" i="24"/>
  <c r="AX24" i="24"/>
  <c r="AQ24" i="24"/>
  <c r="BT24" i="24"/>
  <c r="BI24" i="24"/>
  <c r="AX58" i="24"/>
  <c r="AS58" i="24"/>
  <c r="BH58" i="24"/>
  <c r="AQ58" i="24"/>
  <c r="BI58" i="24"/>
  <c r="BJ58" i="24"/>
  <c r="BT58" i="24"/>
  <c r="AX84" i="24"/>
  <c r="AQ84" i="24"/>
  <c r="BH84" i="24"/>
  <c r="BJ84" i="24"/>
  <c r="BT84" i="24"/>
  <c r="BI84" i="24"/>
  <c r="AS84" i="24"/>
  <c r="BH12" i="24"/>
  <c r="BJ12" i="24"/>
  <c r="AS12" i="24"/>
  <c r="AX12" i="24"/>
  <c r="BT12" i="24"/>
  <c r="AQ12" i="24"/>
  <c r="BI12" i="24"/>
  <c r="AX38" i="24"/>
  <c r="BI38" i="24"/>
  <c r="AS38" i="24"/>
  <c r="BT38" i="24"/>
  <c r="BJ38" i="24"/>
  <c r="AQ38" i="24"/>
  <c r="BH38" i="24"/>
  <c r="AX9" i="24"/>
  <c r="AS9" i="24"/>
  <c r="BI9" i="24"/>
  <c r="AQ9" i="24"/>
  <c r="BJ9" i="24"/>
  <c r="AX67" i="24"/>
  <c r="BH67" i="24"/>
  <c r="BI67" i="24"/>
  <c r="AS67" i="24"/>
  <c r="BT67" i="24"/>
  <c r="BJ67" i="24"/>
  <c r="AQ67" i="24"/>
  <c r="BT80" i="24"/>
  <c r="BH80" i="24"/>
  <c r="BI80" i="24"/>
  <c r="AS80" i="24"/>
  <c r="AQ80" i="24"/>
  <c r="AX80" i="24"/>
  <c r="BJ80" i="24"/>
  <c r="AX26" i="24"/>
  <c r="BT26" i="24"/>
  <c r="BJ26" i="24"/>
  <c r="BI26" i="24"/>
  <c r="AQ26" i="24"/>
  <c r="BH26" i="24"/>
  <c r="AS26" i="24"/>
  <c r="BH44" i="24"/>
  <c r="BJ44" i="24"/>
  <c r="BT44" i="24"/>
  <c r="BI44" i="24"/>
  <c r="AS44" i="24"/>
  <c r="AX44" i="24"/>
  <c r="AQ44" i="24"/>
  <c r="AX77" i="24"/>
  <c r="BJ77" i="24"/>
  <c r="AQ77" i="24"/>
  <c r="BH77" i="24"/>
  <c r="BT77" i="24"/>
  <c r="BI77" i="24"/>
  <c r="AS77" i="24"/>
  <c r="AX39" i="24"/>
  <c r="AS39" i="24"/>
  <c r="BJ39" i="24"/>
  <c r="BH39" i="24"/>
  <c r="BT39" i="24"/>
  <c r="BI39" i="24"/>
  <c r="AQ39" i="24"/>
  <c r="AX52" i="24"/>
  <c r="BH52" i="24"/>
  <c r="BJ52" i="24"/>
  <c r="AQ52" i="24"/>
  <c r="BT52" i="24"/>
  <c r="BI52" i="24"/>
  <c r="AS52" i="24"/>
  <c r="BT90" i="24"/>
  <c r="BJ90" i="24"/>
  <c r="AX90" i="24"/>
  <c r="AS90" i="24"/>
  <c r="BI90" i="24"/>
  <c r="AQ90" i="24"/>
  <c r="BH90" i="24"/>
  <c r="BH30" i="24"/>
  <c r="AS30" i="24"/>
  <c r="BT30" i="24"/>
  <c r="BI30" i="24"/>
  <c r="BJ30" i="24"/>
  <c r="AX30" i="24"/>
  <c r="AQ30" i="24"/>
  <c r="AX62" i="24"/>
  <c r="BH62" i="24"/>
  <c r="AS62" i="24"/>
  <c r="BT62" i="24"/>
  <c r="BJ62" i="24"/>
  <c r="BI62" i="24"/>
  <c r="AQ62" i="24"/>
  <c r="AX11" i="24"/>
  <c r="AS11" i="24"/>
  <c r="BI11" i="24"/>
  <c r="BJ11" i="24"/>
  <c r="BT11" i="24"/>
  <c r="AQ11" i="24"/>
  <c r="BH11" i="24"/>
  <c r="BH76" i="24"/>
  <c r="BI76" i="24"/>
  <c r="AS76" i="24"/>
  <c r="BT76" i="24"/>
  <c r="AQ76" i="24"/>
  <c r="AX76" i="24"/>
  <c r="BJ76" i="24"/>
  <c r="BH9" i="24"/>
  <c r="AX17" i="24"/>
  <c r="BT17" i="24"/>
  <c r="BI17" i="24"/>
  <c r="BJ17" i="24"/>
  <c r="BH17" i="24"/>
  <c r="AQ17" i="24"/>
  <c r="AS17" i="24"/>
  <c r="AS20" i="24"/>
  <c r="BT20" i="24"/>
  <c r="BJ20" i="24"/>
  <c r="BH20" i="24"/>
  <c r="BI20" i="24"/>
  <c r="AQ20" i="24"/>
  <c r="AX20" i="24"/>
  <c r="BH66" i="24"/>
  <c r="BI66" i="24"/>
  <c r="AS66" i="24"/>
  <c r="BT66" i="24"/>
  <c r="AX66" i="24"/>
  <c r="BJ66" i="24"/>
  <c r="AQ66" i="24"/>
  <c r="AX61" i="24"/>
  <c r="BT61" i="24"/>
  <c r="AS61" i="24"/>
  <c r="BH61" i="24"/>
  <c r="BI61" i="24"/>
  <c r="AQ61" i="24"/>
  <c r="BJ61" i="24"/>
  <c r="BI7" i="24"/>
  <c r="AQ7" i="24"/>
  <c r="AX7" i="24"/>
  <c r="BJ7" i="24"/>
  <c r="AS7" i="24"/>
  <c r="BH7" i="24"/>
  <c r="BT7" i="24"/>
  <c r="AX6" i="24"/>
  <c r="BI6" i="24"/>
  <c r="AS6" i="24"/>
  <c r="BT6" i="24"/>
  <c r="BH6" i="24"/>
  <c r="AQ6" i="24"/>
  <c r="BJ6" i="24"/>
  <c r="BE40" i="24"/>
  <c r="BS40" i="24" s="1"/>
  <c r="AY105" i="25"/>
  <c r="BB8" i="25"/>
  <c r="BC8" i="25"/>
  <c r="BS8" i="25" s="1"/>
  <c r="BB82" i="25"/>
  <c r="BC82" i="25"/>
  <c r="BS82" i="25" s="1"/>
  <c r="BB74" i="25"/>
  <c r="BC74" i="25"/>
  <c r="BS74" i="25" s="1"/>
  <c r="BB45" i="25"/>
  <c r="BC45" i="25"/>
  <c r="BS45" i="25" s="1"/>
  <c r="BB62" i="25"/>
  <c r="BC62" i="25"/>
  <c r="BS62" i="25" s="1"/>
  <c r="BB103" i="25"/>
  <c r="BC103" i="25"/>
  <c r="BS103" i="25" s="1"/>
  <c r="BC44" i="25"/>
  <c r="BS44" i="25" s="1"/>
  <c r="BB44" i="25"/>
  <c r="BC28" i="25"/>
  <c r="BS28" i="25" s="1"/>
  <c r="BB28" i="25"/>
  <c r="BB7" i="25"/>
  <c r="BC7" i="25"/>
  <c r="BS7" i="25" s="1"/>
  <c r="BB101" i="25"/>
  <c r="BC101" i="25"/>
  <c r="BS101" i="25" s="1"/>
  <c r="BB46" i="25"/>
  <c r="BC46" i="25"/>
  <c r="BS46" i="25" s="1"/>
  <c r="BB9" i="25"/>
  <c r="BC9" i="25"/>
  <c r="BS9" i="25" s="1"/>
  <c r="BC78" i="25"/>
  <c r="BS78" i="25" s="1"/>
  <c r="BB78" i="25"/>
  <c r="BB22" i="25"/>
  <c r="BC22" i="25"/>
  <c r="BS22" i="25" s="1"/>
  <c r="BB67" i="25"/>
  <c r="BC67" i="25"/>
  <c r="BS67" i="25" s="1"/>
  <c r="BB51" i="25"/>
  <c r="BC51" i="25"/>
  <c r="BS51" i="25" s="1"/>
  <c r="BB77" i="25"/>
  <c r="BC77" i="25"/>
  <c r="BS77" i="25" s="1"/>
  <c r="BB10" i="25"/>
  <c r="BC10" i="25"/>
  <c r="BS10" i="25" s="1"/>
  <c r="BB30" i="25"/>
  <c r="BC30" i="25"/>
  <c r="BS30" i="25" s="1"/>
  <c r="BB91" i="25"/>
  <c r="BC91" i="25"/>
  <c r="BS91" i="25" s="1"/>
  <c r="BB13" i="25"/>
  <c r="BC13" i="25"/>
  <c r="BS13" i="25" s="1"/>
  <c r="BB31" i="25"/>
  <c r="BC31" i="25"/>
  <c r="BS31" i="25" s="1"/>
  <c r="BB96" i="25"/>
  <c r="BC96" i="25"/>
  <c r="BS96" i="25" s="1"/>
  <c r="BB104" i="25"/>
  <c r="BC104" i="25"/>
  <c r="BS104" i="25" s="1"/>
  <c r="BB25" i="25"/>
  <c r="BC25" i="25"/>
  <c r="BS25" i="25" s="1"/>
  <c r="BC60" i="25"/>
  <c r="BS60" i="25" s="1"/>
  <c r="BB60" i="25"/>
  <c r="BB66" i="25"/>
  <c r="BC66" i="25"/>
  <c r="BS66" i="25" s="1"/>
  <c r="BB73" i="25"/>
  <c r="BC73" i="25"/>
  <c r="BS73" i="25" s="1"/>
  <c r="BB98" i="25"/>
  <c r="BC98" i="25"/>
  <c r="BS98" i="25" s="1"/>
  <c r="BB81" i="25"/>
  <c r="BC81" i="25"/>
  <c r="BS81" i="25" s="1"/>
  <c r="BB34" i="25"/>
  <c r="BC34" i="25"/>
  <c r="BS34" i="25" s="1"/>
  <c r="BB21" i="25"/>
  <c r="BC21" i="25"/>
  <c r="BS21" i="25" s="1"/>
  <c r="BC56" i="25"/>
  <c r="BS56" i="25" s="1"/>
  <c r="BB56" i="25"/>
  <c r="BC86" i="25"/>
  <c r="BS86" i="25" s="1"/>
  <c r="BB86" i="25"/>
  <c r="BB87" i="25"/>
  <c r="BC87" i="25"/>
  <c r="BS87" i="25" s="1"/>
  <c r="BB75" i="25"/>
  <c r="BC75" i="25"/>
  <c r="BS75" i="25" s="1"/>
  <c r="BC36" i="25"/>
  <c r="BS36" i="25" s="1"/>
  <c r="BB36" i="25"/>
  <c r="BB11" i="25"/>
  <c r="BC11" i="25"/>
  <c r="BS11" i="25" s="1"/>
  <c r="BB38" i="25"/>
  <c r="BC38" i="25"/>
  <c r="BS38" i="25" s="1"/>
  <c r="BB69" i="25"/>
  <c r="BC69" i="25"/>
  <c r="BS69" i="25" s="1"/>
  <c r="BB59" i="25"/>
  <c r="BC59" i="25"/>
  <c r="BS59" i="25" s="1"/>
  <c r="BB76" i="25"/>
  <c r="BC76" i="25"/>
  <c r="BS76" i="25" s="1"/>
  <c r="BB27" i="25"/>
  <c r="BC27" i="25"/>
  <c r="BS27" i="25" s="1"/>
  <c r="BB79" i="25"/>
  <c r="BC79" i="25"/>
  <c r="BS79" i="25" s="1"/>
  <c r="BB54" i="25"/>
  <c r="BC54" i="25"/>
  <c r="BS54" i="25" s="1"/>
  <c r="BB71" i="25"/>
  <c r="BC71" i="25"/>
  <c r="BS71" i="25" s="1"/>
  <c r="BB15" i="25"/>
  <c r="BC15" i="25"/>
  <c r="BS15" i="25" s="1"/>
  <c r="BB105" i="25"/>
  <c r="BC105" i="25"/>
  <c r="BS105" i="25" s="1"/>
  <c r="BB18" i="25"/>
  <c r="BC18" i="25"/>
  <c r="BS18" i="25" s="1"/>
  <c r="BC32" i="25"/>
  <c r="BS32" i="25" s="1"/>
  <c r="BB32" i="25"/>
  <c r="BB57" i="25"/>
  <c r="BC57" i="25"/>
  <c r="BS57" i="25" s="1"/>
  <c r="BB65" i="25"/>
  <c r="BC65" i="25"/>
  <c r="BS65" i="25" s="1"/>
  <c r="BC72" i="25"/>
  <c r="BS72" i="25" s="1"/>
  <c r="BB72" i="25"/>
  <c r="BB29" i="25"/>
  <c r="BC29" i="25"/>
  <c r="BS29" i="25" s="1"/>
  <c r="BB88" i="25"/>
  <c r="BC88" i="25"/>
  <c r="BS88" i="25" s="1"/>
  <c r="BB12" i="25"/>
  <c r="BC12" i="25"/>
  <c r="BS12" i="25" s="1"/>
  <c r="BC64" i="25"/>
  <c r="BS64" i="25" s="1"/>
  <c r="BB64" i="25"/>
  <c r="BB26" i="25"/>
  <c r="BC26" i="25"/>
  <c r="BS26" i="25" s="1"/>
  <c r="BB100" i="25"/>
  <c r="BC100" i="25"/>
  <c r="BS100" i="25" s="1"/>
  <c r="BB97" i="25"/>
  <c r="BC97" i="25"/>
  <c r="BS97" i="25" s="1"/>
  <c r="BB19" i="25"/>
  <c r="BC19" i="25"/>
  <c r="BS19" i="25" s="1"/>
  <c r="BB20" i="25"/>
  <c r="BC20" i="25"/>
  <c r="BS20" i="25" s="1"/>
  <c r="BB17" i="25"/>
  <c r="BC17" i="25"/>
  <c r="BS17" i="25" s="1"/>
  <c r="BB47" i="25"/>
  <c r="BC47" i="25"/>
  <c r="BS47" i="25" s="1"/>
  <c r="BB63" i="25"/>
  <c r="BC63" i="25"/>
  <c r="BS63" i="25" s="1"/>
  <c r="BB53" i="25"/>
  <c r="BC53" i="25"/>
  <c r="BS53" i="25" s="1"/>
  <c r="BB93" i="25"/>
  <c r="BC93" i="25"/>
  <c r="BS93" i="25" s="1"/>
  <c r="BC68" i="25"/>
  <c r="BS68" i="25" s="1"/>
  <c r="BB68" i="25"/>
  <c r="BB24" i="25"/>
  <c r="BC24" i="25"/>
  <c r="BS24" i="25" s="1"/>
  <c r="BC94" i="25"/>
  <c r="BS94" i="25" s="1"/>
  <c r="BB94" i="25"/>
  <c r="BC52" i="25"/>
  <c r="BS52" i="25" s="1"/>
  <c r="BB52" i="25"/>
  <c r="BB92" i="25"/>
  <c r="BC92" i="25"/>
  <c r="BS92" i="25" s="1"/>
  <c r="BB33" i="25"/>
  <c r="BC33" i="25"/>
  <c r="BS33" i="25" s="1"/>
  <c r="BB99" i="25"/>
  <c r="BC99" i="25"/>
  <c r="BS99" i="25" s="1"/>
  <c r="BB95" i="25"/>
  <c r="BC95" i="25"/>
  <c r="BS95" i="25" s="1"/>
  <c r="BB55" i="25"/>
  <c r="BC55" i="25"/>
  <c r="BS55" i="25" s="1"/>
  <c r="BB70" i="25"/>
  <c r="BC70" i="25"/>
  <c r="BS70" i="25" s="1"/>
  <c r="BC102" i="25"/>
  <c r="BS102" i="25" s="1"/>
  <c r="BB102" i="25"/>
  <c r="BB83" i="25"/>
  <c r="BC83" i="25"/>
  <c r="BS83" i="25" s="1"/>
  <c r="BB14" i="25"/>
  <c r="BC14" i="25"/>
  <c r="BS14" i="25" s="1"/>
  <c r="BB80" i="25"/>
  <c r="BC80" i="25"/>
  <c r="BS80" i="25" s="1"/>
  <c r="BB42" i="25"/>
  <c r="BC42" i="25"/>
  <c r="BS42" i="25" s="1"/>
  <c r="BB6" i="25"/>
  <c r="BC6" i="25"/>
  <c r="BS6" i="25" s="1"/>
  <c r="BB49" i="25"/>
  <c r="BC49" i="25"/>
  <c r="BS49" i="25" s="1"/>
  <c r="BB37" i="25"/>
  <c r="BC37" i="25"/>
  <c r="BS37" i="25" s="1"/>
  <c r="BB50" i="25"/>
  <c r="BC50" i="25"/>
  <c r="BS50" i="25" s="1"/>
  <c r="BB89" i="25"/>
  <c r="BC89" i="25"/>
  <c r="BS89" i="25" s="1"/>
  <c r="BC48" i="25"/>
  <c r="BS48" i="25" s="1"/>
  <c r="BB48" i="25"/>
  <c r="BB39" i="25"/>
  <c r="BC39" i="25"/>
  <c r="BS39" i="25" s="1"/>
  <c r="BC40" i="25"/>
  <c r="BS40" i="25" s="1"/>
  <c r="BB40" i="25"/>
  <c r="BB23" i="25"/>
  <c r="BC23" i="25"/>
  <c r="BS23" i="25" s="1"/>
  <c r="BB61" i="25"/>
  <c r="BC61" i="25"/>
  <c r="BS61" i="25" s="1"/>
  <c r="BB16" i="25"/>
  <c r="BC16" i="25"/>
  <c r="BS16" i="25" s="1"/>
  <c r="BB41" i="25"/>
  <c r="BC41" i="25"/>
  <c r="BS41" i="25" s="1"/>
  <c r="BB35" i="25"/>
  <c r="BC35" i="25"/>
  <c r="BS35" i="25" s="1"/>
  <c r="BB90" i="25"/>
  <c r="BC90" i="25"/>
  <c r="BS90" i="25" s="1"/>
  <c r="BB84" i="25"/>
  <c r="BC84" i="25"/>
  <c r="BS84" i="25" s="1"/>
  <c r="BB85" i="25"/>
  <c r="BC85" i="25"/>
  <c r="BS85" i="25" s="1"/>
  <c r="BB43" i="25"/>
  <c r="BC43" i="25"/>
  <c r="BS43" i="25" s="1"/>
  <c r="AT5" i="25"/>
  <c r="AY5" i="25" s="1"/>
  <c r="AU5" i="25"/>
  <c r="BD40" i="24"/>
  <c r="BG40" i="24" s="1"/>
  <c r="BL40" i="24" s="1"/>
  <c r="BM40" i="24" s="1"/>
  <c r="BA90" i="25"/>
  <c r="BQ90" i="25" s="1"/>
  <c r="BA33" i="25"/>
  <c r="BQ33" i="25" s="1"/>
  <c r="BA55" i="25"/>
  <c r="BQ55" i="25" s="1"/>
  <c r="BA60" i="25"/>
  <c r="BQ60" i="25" s="1"/>
  <c r="BA98" i="25"/>
  <c r="BQ98" i="25" s="1"/>
  <c r="BA95" i="25"/>
  <c r="BE95" i="25" s="1"/>
  <c r="BJ95" i="25" s="1"/>
  <c r="BR58" i="25"/>
  <c r="BA18" i="25"/>
  <c r="BE18" i="25" s="1"/>
  <c r="BJ18" i="25" s="1"/>
  <c r="BA65" i="25"/>
  <c r="BQ65" i="25" s="1"/>
  <c r="B96" i="2"/>
  <c r="B99" i="2"/>
  <c r="E23" i="1" s="1"/>
  <c r="B109" i="2"/>
  <c r="L23" i="1" s="1"/>
  <c r="B106" i="2"/>
  <c r="BA43" i="25"/>
  <c r="BQ43" i="25" s="1"/>
  <c r="BA32" i="25"/>
  <c r="BQ32" i="25" s="1"/>
  <c r="BA73" i="25"/>
  <c r="BQ73" i="25" s="1"/>
  <c r="BA57" i="25"/>
  <c r="BE57" i="25" s="1"/>
  <c r="BJ57" i="25" s="1"/>
  <c r="BA85" i="25"/>
  <c r="BE85" i="25" s="1"/>
  <c r="BJ85" i="25" s="1"/>
  <c r="BA99" i="25"/>
  <c r="BQ99" i="25" s="1"/>
  <c r="BA84" i="25"/>
  <c r="BE84" i="25" s="1"/>
  <c r="BJ84" i="25" s="1"/>
  <c r="BA66" i="25"/>
  <c r="BE66" i="25" s="1"/>
  <c r="BJ66" i="25" s="1"/>
  <c r="BA70" i="25"/>
  <c r="BA81" i="25"/>
  <c r="BA34" i="25"/>
  <c r="BA21" i="25"/>
  <c r="BA56" i="25"/>
  <c r="BA86" i="25"/>
  <c r="BA87" i="25"/>
  <c r="BA6" i="25"/>
  <c r="BA49" i="25"/>
  <c r="BA37" i="25"/>
  <c r="BA50" i="25"/>
  <c r="BA89" i="25"/>
  <c r="BA48" i="25"/>
  <c r="BA39" i="25"/>
  <c r="BA40" i="25"/>
  <c r="BA54" i="25"/>
  <c r="BA71" i="25"/>
  <c r="BA105" i="25"/>
  <c r="BA8" i="25"/>
  <c r="BA29" i="25"/>
  <c r="BA88" i="25"/>
  <c r="BA62" i="25"/>
  <c r="BA103" i="25"/>
  <c r="BA26" i="25"/>
  <c r="BA100" i="25"/>
  <c r="BA28" i="25"/>
  <c r="BA7" i="25"/>
  <c r="BA101" i="25"/>
  <c r="BA46" i="25"/>
  <c r="BA9" i="25"/>
  <c r="BA78" i="25"/>
  <c r="BA22" i="25"/>
  <c r="BA47" i="25"/>
  <c r="BA63" i="25"/>
  <c r="BA51" i="25"/>
  <c r="BA77" i="25"/>
  <c r="BA93" i="25"/>
  <c r="BA68" i="25"/>
  <c r="BA24" i="25"/>
  <c r="BA31" i="25"/>
  <c r="BA96" i="25"/>
  <c r="BA104" i="25"/>
  <c r="BA25" i="25"/>
  <c r="BA102" i="25"/>
  <c r="BA83" i="25"/>
  <c r="BA14" i="25"/>
  <c r="BA80" i="25"/>
  <c r="BA42" i="25"/>
  <c r="BA75" i="25"/>
  <c r="BA36" i="25"/>
  <c r="BA11" i="25"/>
  <c r="BA38" i="25"/>
  <c r="BA69" i="25"/>
  <c r="BA59" i="25"/>
  <c r="BA76" i="25"/>
  <c r="BA27" i="25"/>
  <c r="BA79" i="25"/>
  <c r="BA23" i="25"/>
  <c r="BA61" i="25"/>
  <c r="BA16" i="25"/>
  <c r="BA15" i="25"/>
  <c r="BA41" i="25"/>
  <c r="BA35" i="25"/>
  <c r="BA72" i="25"/>
  <c r="BA82" i="25"/>
  <c r="BA74" i="25"/>
  <c r="BA45" i="25"/>
  <c r="BA12" i="25"/>
  <c r="BA64" i="25"/>
  <c r="BA44" i="25"/>
  <c r="BA97" i="25"/>
  <c r="BA19" i="25"/>
  <c r="BA20" i="25"/>
  <c r="BA17" i="25"/>
  <c r="BA67" i="25"/>
  <c r="BA53" i="25"/>
  <c r="BA10" i="25"/>
  <c r="BA30" i="25"/>
  <c r="BA91" i="25"/>
  <c r="BA13" i="25"/>
  <c r="BA94" i="25"/>
  <c r="BA52" i="25"/>
  <c r="BA92" i="25"/>
  <c r="BR53" i="24"/>
  <c r="BR32" i="24"/>
  <c r="BD85" i="24"/>
  <c r="BG85" i="24" s="1"/>
  <c r="BL85" i="24" s="1"/>
  <c r="BM85" i="24" s="1"/>
  <c r="BE85" i="24"/>
  <c r="BS85" i="24" s="1"/>
  <c r="BD21" i="24"/>
  <c r="BG21" i="24" s="1"/>
  <c r="BL21" i="24" s="1"/>
  <c r="BM21" i="24" s="1"/>
  <c r="BE21" i="24"/>
  <c r="BS21" i="24" s="1"/>
  <c r="BD95" i="24"/>
  <c r="BG95" i="24" s="1"/>
  <c r="BL95" i="24" s="1"/>
  <c r="BM95" i="24" s="1"/>
  <c r="BE95" i="24"/>
  <c r="BS95" i="24" s="1"/>
  <c r="BD68" i="24"/>
  <c r="BG68" i="24" s="1"/>
  <c r="BL68" i="24" s="1"/>
  <c r="BM68" i="24" s="1"/>
  <c r="BE68" i="24"/>
  <c r="BS68" i="24" s="1"/>
  <c r="BD28" i="24"/>
  <c r="BR28" i="24" s="1"/>
  <c r="BE28" i="24"/>
  <c r="BS28" i="24" s="1"/>
  <c r="BD14" i="24"/>
  <c r="BG14" i="24" s="1"/>
  <c r="BL14" i="24" s="1"/>
  <c r="BM14" i="24" s="1"/>
  <c r="BE14" i="24"/>
  <c r="BS14" i="24" s="1"/>
  <c r="BD92" i="24"/>
  <c r="BG92" i="24" s="1"/>
  <c r="BL92" i="24" s="1"/>
  <c r="BM92" i="24" s="1"/>
  <c r="BE92" i="24"/>
  <c r="BS92" i="24" s="1"/>
  <c r="BD55" i="24"/>
  <c r="BR55" i="24" s="1"/>
  <c r="BE55" i="24"/>
  <c r="BS55" i="24" s="1"/>
  <c r="BD105" i="24"/>
  <c r="BG105" i="24" s="1"/>
  <c r="BL105" i="24" s="1"/>
  <c r="BM105" i="24" s="1"/>
  <c r="BE105" i="24"/>
  <c r="BS105" i="24" s="1"/>
  <c r="BD63" i="24"/>
  <c r="BR63" i="24" s="1"/>
  <c r="BE63" i="24"/>
  <c r="BS63" i="24" s="1"/>
  <c r="BD36" i="24"/>
  <c r="BG36" i="24" s="1"/>
  <c r="BL36" i="24" s="1"/>
  <c r="BM36" i="24" s="1"/>
  <c r="BE36" i="24"/>
  <c r="BS36" i="24" s="1"/>
  <c r="BD42" i="24"/>
  <c r="BR42" i="24" s="1"/>
  <c r="BE42" i="24"/>
  <c r="BS42" i="24" s="1"/>
  <c r="BD59" i="24"/>
  <c r="BG59" i="24" s="1"/>
  <c r="BL59" i="24" s="1"/>
  <c r="BM59" i="24" s="1"/>
  <c r="BE59" i="24"/>
  <c r="BS59" i="24" s="1"/>
  <c r="BD19" i="24"/>
  <c r="BR19" i="24" s="1"/>
  <c r="BE19" i="24"/>
  <c r="BS19" i="24" s="1"/>
  <c r="BD54" i="24"/>
  <c r="BG54" i="24" s="1"/>
  <c r="BL54" i="24" s="1"/>
  <c r="BM54" i="24" s="1"/>
  <c r="BE54" i="24"/>
  <c r="BS54" i="24" s="1"/>
  <c r="BD82" i="24"/>
  <c r="BG82" i="24" s="1"/>
  <c r="BL82" i="24" s="1"/>
  <c r="BM82" i="24" s="1"/>
  <c r="BE82" i="24"/>
  <c r="BS82" i="24" s="1"/>
  <c r="BD60" i="24"/>
  <c r="BR60" i="24" s="1"/>
  <c r="BE60" i="24"/>
  <c r="BS60" i="24" s="1"/>
  <c r="BD29" i="24"/>
  <c r="BG29" i="24" s="1"/>
  <c r="BL29" i="24" s="1"/>
  <c r="BM29" i="24" s="1"/>
  <c r="BE29" i="24"/>
  <c r="BS29" i="24" s="1"/>
  <c r="BD18" i="24"/>
  <c r="BR18" i="24" s="1"/>
  <c r="BE18" i="24"/>
  <c r="BS18" i="24" s="1"/>
  <c r="BD100" i="24"/>
  <c r="BR100" i="24" s="1"/>
  <c r="BE100" i="24"/>
  <c r="BS100" i="24" s="1"/>
  <c r="BD46" i="24"/>
  <c r="BR46" i="24" s="1"/>
  <c r="BE46" i="24"/>
  <c r="BS46" i="24" s="1"/>
  <c r="BD31" i="24"/>
  <c r="BR31" i="24" s="1"/>
  <c r="BE31" i="24"/>
  <c r="BS31" i="24" s="1"/>
  <c r="BD41" i="24"/>
  <c r="BG41" i="24" s="1"/>
  <c r="BL41" i="24" s="1"/>
  <c r="BM41" i="24" s="1"/>
  <c r="BE41" i="24"/>
  <c r="BS41" i="24" s="1"/>
  <c r="BD83" i="24"/>
  <c r="BR83" i="24" s="1"/>
  <c r="BE83" i="24"/>
  <c r="BS83" i="24" s="1"/>
  <c r="BD91" i="24"/>
  <c r="BG91" i="24" s="1"/>
  <c r="BL91" i="24" s="1"/>
  <c r="BM91" i="24" s="1"/>
  <c r="BE91" i="24"/>
  <c r="BS91" i="24" s="1"/>
  <c r="BD78" i="24"/>
  <c r="BG78" i="24" s="1"/>
  <c r="BL78" i="24" s="1"/>
  <c r="BM78" i="24" s="1"/>
  <c r="BE78" i="24"/>
  <c r="BS78" i="24" s="1"/>
  <c r="BD96" i="24"/>
  <c r="BG96" i="24" s="1"/>
  <c r="BL96" i="24" s="1"/>
  <c r="BM96" i="24" s="1"/>
  <c r="BE96" i="24"/>
  <c r="BS96" i="24" s="1"/>
  <c r="BD79" i="24"/>
  <c r="BG79" i="24" s="1"/>
  <c r="BL79" i="24" s="1"/>
  <c r="BM79" i="24" s="1"/>
  <c r="BE79" i="24"/>
  <c r="BS79" i="24" s="1"/>
  <c r="BD87" i="24"/>
  <c r="BG87" i="24" s="1"/>
  <c r="BL87" i="24" s="1"/>
  <c r="BM87" i="24" s="1"/>
  <c r="BE87" i="24"/>
  <c r="BS87" i="24" s="1"/>
  <c r="BD72" i="24"/>
  <c r="BR72" i="24" s="1"/>
  <c r="BE72" i="24"/>
  <c r="BS72" i="24" s="1"/>
  <c r="BD74" i="24"/>
  <c r="BG74" i="24" s="1"/>
  <c r="BL74" i="24" s="1"/>
  <c r="BM74" i="24" s="1"/>
  <c r="BE74" i="24"/>
  <c r="BS74" i="24" s="1"/>
  <c r="BD56" i="24"/>
  <c r="BR56" i="24" s="1"/>
  <c r="BE56" i="24"/>
  <c r="BS56" i="24" s="1"/>
  <c r="BD25" i="24"/>
  <c r="BR25" i="24" s="1"/>
  <c r="BE25" i="24"/>
  <c r="BS25" i="24" s="1"/>
  <c r="BD70" i="24"/>
  <c r="BR70" i="24" s="1"/>
  <c r="BE70" i="24"/>
  <c r="BS70" i="24" s="1"/>
  <c r="BD89" i="24"/>
  <c r="BG89" i="24" s="1"/>
  <c r="BL89" i="24" s="1"/>
  <c r="BM89" i="24" s="1"/>
  <c r="BE89" i="24"/>
  <c r="BS89" i="24" s="1"/>
  <c r="BD10" i="24"/>
  <c r="BR10" i="24" s="1"/>
  <c r="BE10" i="24"/>
  <c r="BS10" i="24" s="1"/>
  <c r="BD101" i="24"/>
  <c r="BR101" i="24" s="1"/>
  <c r="BE101" i="24"/>
  <c r="BS101" i="24" s="1"/>
  <c r="BD50" i="24"/>
  <c r="BR50" i="24" s="1"/>
  <c r="BE50" i="24"/>
  <c r="BS50" i="24" s="1"/>
  <c r="F64" i="19"/>
  <c r="F65" i="19"/>
  <c r="BK85" i="25" l="1"/>
  <c r="BK95" i="25"/>
  <c r="BK84" i="25"/>
  <c r="BK18" i="25"/>
  <c r="BK66" i="25"/>
  <c r="BK57" i="25"/>
  <c r="BU58" i="25"/>
  <c r="BU70" i="24"/>
  <c r="BU10" i="24"/>
  <c r="BU50" i="24"/>
  <c r="BU18" i="24"/>
  <c r="BU25" i="24"/>
  <c r="BU32" i="24"/>
  <c r="BW32" i="24" s="1"/>
  <c r="BU46" i="24"/>
  <c r="BU28" i="24"/>
  <c r="BU56" i="24"/>
  <c r="BU72" i="24"/>
  <c r="BU83" i="24"/>
  <c r="BU31" i="24"/>
  <c r="BU100" i="24"/>
  <c r="BU19" i="24"/>
  <c r="BU42" i="24"/>
  <c r="BU63" i="24"/>
  <c r="BU55" i="24"/>
  <c r="BU53" i="24"/>
  <c r="BW53" i="24" s="1"/>
  <c r="BU69" i="24"/>
  <c r="BU60" i="24"/>
  <c r="BU101" i="24"/>
  <c r="BU5" i="24"/>
  <c r="BW5" i="24" s="1"/>
  <c r="BE166" i="24"/>
  <c r="BS166" i="24" s="1"/>
  <c r="BD167" i="24"/>
  <c r="BR167" i="24" s="1"/>
  <c r="BW167" i="24" s="1"/>
  <c r="BE191" i="25"/>
  <c r="BQ191" i="25"/>
  <c r="BW191" i="25" s="1"/>
  <c r="BE165" i="25"/>
  <c r="BQ165" i="25"/>
  <c r="BW165" i="25" s="1"/>
  <c r="BE152" i="25"/>
  <c r="BQ152" i="25"/>
  <c r="BW152" i="25" s="1"/>
  <c r="BE168" i="25"/>
  <c r="BQ168" i="25"/>
  <c r="BW168" i="25" s="1"/>
  <c r="BE136" i="25"/>
  <c r="BQ136" i="25"/>
  <c r="BW136" i="25" s="1"/>
  <c r="BE137" i="25"/>
  <c r="BQ137" i="25"/>
  <c r="BW137" i="25" s="1"/>
  <c r="BE159" i="25"/>
  <c r="BQ159" i="25"/>
  <c r="BW159" i="25" s="1"/>
  <c r="BE114" i="25"/>
  <c r="BQ114" i="25"/>
  <c r="BW114" i="25" s="1"/>
  <c r="BE111" i="25"/>
  <c r="BQ111" i="25"/>
  <c r="BW111" i="25" s="1"/>
  <c r="BE206" i="25"/>
  <c r="BQ206" i="25"/>
  <c r="BW206" i="25" s="1"/>
  <c r="BE163" i="25"/>
  <c r="BQ163" i="25"/>
  <c r="BW163" i="25" s="1"/>
  <c r="BE119" i="25"/>
  <c r="BQ119" i="25"/>
  <c r="BW119" i="25" s="1"/>
  <c r="BE158" i="25"/>
  <c r="BQ158" i="25"/>
  <c r="BW158" i="25" s="1"/>
  <c r="BQ210" i="25"/>
  <c r="BW210" i="25" s="1"/>
  <c r="BE210" i="25"/>
  <c r="BE175" i="25"/>
  <c r="BQ175" i="25"/>
  <c r="BW175" i="25" s="1"/>
  <c r="BQ122" i="25"/>
  <c r="BW122" i="25" s="1"/>
  <c r="BE122" i="25"/>
  <c r="BQ112" i="25"/>
  <c r="BW112" i="25" s="1"/>
  <c r="BE112" i="25"/>
  <c r="BE205" i="25"/>
  <c r="BQ205" i="25"/>
  <c r="BW205" i="25" s="1"/>
  <c r="BE189" i="25"/>
  <c r="BQ189" i="25"/>
  <c r="BW189" i="25" s="1"/>
  <c r="BQ196" i="25"/>
  <c r="BW196" i="25" s="1"/>
  <c r="BE196" i="25"/>
  <c r="BQ198" i="25"/>
  <c r="BW198" i="25" s="1"/>
  <c r="BE198" i="25"/>
  <c r="BE170" i="25"/>
  <c r="BQ170" i="25"/>
  <c r="BW170" i="25" s="1"/>
  <c r="BE199" i="25"/>
  <c r="BQ199" i="25"/>
  <c r="BW199" i="25" s="1"/>
  <c r="BE202" i="25"/>
  <c r="BQ202" i="25"/>
  <c r="BW202" i="25" s="1"/>
  <c r="BE186" i="25"/>
  <c r="BQ186" i="25"/>
  <c r="BW186" i="25" s="1"/>
  <c r="BE197" i="25"/>
  <c r="BQ197" i="25"/>
  <c r="BW197" i="25" s="1"/>
  <c r="BE156" i="25"/>
  <c r="BQ156" i="25"/>
  <c r="BW156" i="25" s="1"/>
  <c r="BE164" i="25"/>
  <c r="BQ164" i="25"/>
  <c r="BW164" i="25" s="1"/>
  <c r="BE123" i="25"/>
  <c r="BQ123" i="25"/>
  <c r="BW123" i="25" s="1"/>
  <c r="BE127" i="25"/>
  <c r="BQ127" i="25"/>
  <c r="BW127" i="25" s="1"/>
  <c r="BE143" i="25"/>
  <c r="BQ143" i="25"/>
  <c r="BW143" i="25" s="1"/>
  <c r="BQ162" i="25"/>
  <c r="BW162" i="25" s="1"/>
  <c r="BE162" i="25"/>
  <c r="BE125" i="25"/>
  <c r="BQ125" i="25"/>
  <c r="BW125" i="25" s="1"/>
  <c r="BE116" i="25"/>
  <c r="BQ116" i="25"/>
  <c r="BW116" i="25" s="1"/>
  <c r="BE149" i="25"/>
  <c r="BQ149" i="25"/>
  <c r="BW149" i="25" s="1"/>
  <c r="BE144" i="25"/>
  <c r="BQ144" i="25"/>
  <c r="BE181" i="25"/>
  <c r="BQ181" i="25"/>
  <c r="BW181" i="25" s="1"/>
  <c r="BE138" i="25"/>
  <c r="BQ138" i="25"/>
  <c r="BW138" i="25" s="1"/>
  <c r="BE132" i="25"/>
  <c r="BQ132" i="25"/>
  <c r="BW132" i="25" s="1"/>
  <c r="BE193" i="25"/>
  <c r="BQ193" i="25"/>
  <c r="BW193" i="25" s="1"/>
  <c r="BE117" i="25"/>
  <c r="BQ117" i="25"/>
  <c r="BW117" i="25" s="1"/>
  <c r="BE153" i="25"/>
  <c r="BQ153" i="25"/>
  <c r="BW153" i="25" s="1"/>
  <c r="BE133" i="25"/>
  <c r="BQ133" i="25"/>
  <c r="BW133" i="25" s="1"/>
  <c r="BE126" i="25"/>
  <c r="BQ126" i="25"/>
  <c r="BW126" i="25" s="1"/>
  <c r="BE161" i="25"/>
  <c r="BQ161" i="25"/>
  <c r="BW161" i="25" s="1"/>
  <c r="BE192" i="25"/>
  <c r="BQ192" i="25"/>
  <c r="BW192" i="25" s="1"/>
  <c r="BE183" i="25"/>
  <c r="BQ183" i="25"/>
  <c r="BW183" i="25" s="1"/>
  <c r="BE207" i="25"/>
  <c r="BQ207" i="25"/>
  <c r="BW207" i="25" s="1"/>
  <c r="BE173" i="25"/>
  <c r="BQ173" i="25"/>
  <c r="BW173" i="25" s="1"/>
  <c r="BE130" i="25"/>
  <c r="BQ130" i="25"/>
  <c r="BW130" i="25" s="1"/>
  <c r="BQ134" i="25"/>
  <c r="BW134" i="25" s="1"/>
  <c r="BE134" i="25"/>
  <c r="BE208" i="25"/>
  <c r="BQ208" i="25"/>
  <c r="BW208" i="25" s="1"/>
  <c r="BE151" i="25"/>
  <c r="BQ151" i="25"/>
  <c r="BW151" i="25" s="1"/>
  <c r="BQ128" i="25"/>
  <c r="BW128" i="25" s="1"/>
  <c r="BE128" i="25"/>
  <c r="BQ182" i="25"/>
  <c r="BW182" i="25" s="1"/>
  <c r="BE182" i="25"/>
  <c r="BE129" i="25"/>
  <c r="BQ129" i="25"/>
  <c r="BW129" i="25" s="1"/>
  <c r="BE200" i="25"/>
  <c r="BQ200" i="25"/>
  <c r="BW200" i="25" s="1"/>
  <c r="BE179" i="25"/>
  <c r="BQ179" i="25"/>
  <c r="BW179" i="25" s="1"/>
  <c r="BC110" i="25"/>
  <c r="BS110" i="25" s="1"/>
  <c r="BA110" i="25"/>
  <c r="BB110" i="25"/>
  <c r="BR110" i="25" s="1"/>
  <c r="BE148" i="25"/>
  <c r="BQ148" i="25"/>
  <c r="BW148" i="25" s="1"/>
  <c r="BE121" i="25"/>
  <c r="BQ121" i="25"/>
  <c r="BW121" i="25" s="1"/>
  <c r="BE115" i="25"/>
  <c r="BQ115" i="25"/>
  <c r="BW115" i="25" s="1"/>
  <c r="BE178" i="25"/>
  <c r="BQ178" i="25"/>
  <c r="BW178" i="25" s="1"/>
  <c r="BW144" i="25"/>
  <c r="BQ131" i="25"/>
  <c r="BW131" i="25" s="1"/>
  <c r="BE131" i="25"/>
  <c r="BE146" i="25"/>
  <c r="BQ146" i="25"/>
  <c r="BW146" i="25" s="1"/>
  <c r="BE118" i="25"/>
  <c r="BQ118" i="25"/>
  <c r="BW118" i="25" s="1"/>
  <c r="BE139" i="25"/>
  <c r="BQ139" i="25"/>
  <c r="BW139" i="25" s="1"/>
  <c r="BQ120" i="25"/>
  <c r="BW120" i="25" s="1"/>
  <c r="BE120" i="25"/>
  <c r="BE209" i="25"/>
  <c r="BQ209" i="25"/>
  <c r="BW209" i="25" s="1"/>
  <c r="BE150" i="25"/>
  <c r="BQ150" i="25"/>
  <c r="BW150" i="25" s="1"/>
  <c r="BE113" i="25"/>
  <c r="BQ113" i="25"/>
  <c r="BW113" i="25" s="1"/>
  <c r="BE177" i="25"/>
  <c r="BQ177" i="25"/>
  <c r="BW177" i="25" s="1"/>
  <c r="BE169" i="25"/>
  <c r="BQ169" i="25"/>
  <c r="BW169" i="25" s="1"/>
  <c r="BQ203" i="25"/>
  <c r="BW203" i="25" s="1"/>
  <c r="BE203" i="25"/>
  <c r="BE167" i="25"/>
  <c r="BQ167" i="25"/>
  <c r="BW167" i="25" s="1"/>
  <c r="BE135" i="25"/>
  <c r="BQ135" i="25"/>
  <c r="BW135" i="25" s="1"/>
  <c r="BE187" i="25"/>
  <c r="BQ187" i="25"/>
  <c r="BW187" i="25" s="1"/>
  <c r="BE172" i="25"/>
  <c r="BQ172" i="25"/>
  <c r="BW172" i="25" s="1"/>
  <c r="BQ176" i="25"/>
  <c r="BW176" i="25" s="1"/>
  <c r="BE176" i="25"/>
  <c r="BQ140" i="25"/>
  <c r="BW140" i="25" s="1"/>
  <c r="BE140" i="25"/>
  <c r="BQ124" i="25"/>
  <c r="BW124" i="25" s="1"/>
  <c r="BE124" i="25"/>
  <c r="BQ147" i="25"/>
  <c r="BW147" i="25" s="1"/>
  <c r="BE147" i="25"/>
  <c r="BE194" i="25"/>
  <c r="BQ194" i="25"/>
  <c r="BW194" i="25" s="1"/>
  <c r="BE160" i="25"/>
  <c r="BK160" i="25" s="1"/>
  <c r="BQ160" i="25"/>
  <c r="BW160" i="25" s="1"/>
  <c r="BE155" i="25"/>
  <c r="BQ155" i="25"/>
  <c r="BW155" i="25" s="1"/>
  <c r="BQ157" i="25"/>
  <c r="BW157" i="25" s="1"/>
  <c r="BE157" i="25"/>
  <c r="BQ154" i="25"/>
  <c r="BW154" i="25" s="1"/>
  <c r="BE154" i="25"/>
  <c r="BE190" i="25"/>
  <c r="BQ190" i="25"/>
  <c r="BW190" i="25" s="1"/>
  <c r="BE188" i="25"/>
  <c r="BQ188" i="25"/>
  <c r="BW188" i="25" s="1"/>
  <c r="BE195" i="25"/>
  <c r="BQ195" i="25"/>
  <c r="BW195" i="25" s="1"/>
  <c r="BQ174" i="25"/>
  <c r="BW174" i="25" s="1"/>
  <c r="BE174" i="25"/>
  <c r="BQ204" i="25"/>
  <c r="BW204" i="25" s="1"/>
  <c r="BE204" i="25"/>
  <c r="BE171" i="25"/>
  <c r="BQ171" i="25"/>
  <c r="BW171" i="25" s="1"/>
  <c r="BQ180" i="25"/>
  <c r="BW180" i="25" s="1"/>
  <c r="BE180" i="25"/>
  <c r="BE201" i="25"/>
  <c r="BQ201" i="25"/>
  <c r="BW201" i="25" s="1"/>
  <c r="BE145" i="25"/>
  <c r="BQ145" i="25"/>
  <c r="BW145" i="25" s="1"/>
  <c r="BE142" i="25"/>
  <c r="BQ142" i="25"/>
  <c r="BW142" i="25" s="1"/>
  <c r="BQ141" i="25"/>
  <c r="BW141" i="25" s="1"/>
  <c r="BE141" i="25"/>
  <c r="BE184" i="25"/>
  <c r="BQ184" i="25"/>
  <c r="BW184" i="25" s="1"/>
  <c r="BE185" i="25"/>
  <c r="BQ185" i="25"/>
  <c r="BW185" i="25" s="1"/>
  <c r="BE166" i="25"/>
  <c r="BQ166" i="25"/>
  <c r="BW166" i="25" s="1"/>
  <c r="AY115" i="24"/>
  <c r="AZ115" i="24" s="1"/>
  <c r="AY167" i="24"/>
  <c r="AZ167" i="24" s="1"/>
  <c r="BD115" i="24"/>
  <c r="BR115" i="24" s="1"/>
  <c r="BW115" i="24" s="1"/>
  <c r="AY165" i="24"/>
  <c r="AZ165" i="24" s="1"/>
  <c r="BD165" i="24"/>
  <c r="BG165" i="24" s="1"/>
  <c r="BE194" i="24"/>
  <c r="BS194" i="24" s="1"/>
  <c r="AY194" i="24"/>
  <c r="AZ194" i="24" s="1"/>
  <c r="BD194" i="24"/>
  <c r="BD141" i="24"/>
  <c r="BE141" i="24"/>
  <c r="BS141" i="24" s="1"/>
  <c r="AY141" i="24"/>
  <c r="AZ141" i="24" s="1"/>
  <c r="BD199" i="24"/>
  <c r="AY199" i="24"/>
  <c r="AZ199" i="24" s="1"/>
  <c r="BE199" i="24"/>
  <c r="BS199" i="24" s="1"/>
  <c r="BE112" i="24"/>
  <c r="BS112" i="24" s="1"/>
  <c r="AY112" i="24"/>
  <c r="AZ112" i="24" s="1"/>
  <c r="BD112" i="24"/>
  <c r="BD203" i="24"/>
  <c r="AY203" i="24"/>
  <c r="AZ203" i="24" s="1"/>
  <c r="BE203" i="24"/>
  <c r="BS203" i="24" s="1"/>
  <c r="AY193" i="24"/>
  <c r="AZ193" i="24" s="1"/>
  <c r="BE193" i="24"/>
  <c r="BS193" i="24" s="1"/>
  <c r="BD193" i="24"/>
  <c r="BR144" i="24"/>
  <c r="BW144" i="24" s="1"/>
  <c r="BG144" i="24"/>
  <c r="BR127" i="24"/>
  <c r="BW127" i="24" s="1"/>
  <c r="BG127" i="24"/>
  <c r="BR152" i="24"/>
  <c r="BW152" i="24" s="1"/>
  <c r="BG152" i="24"/>
  <c r="BR147" i="24"/>
  <c r="BW147" i="24" s="1"/>
  <c r="BG147" i="24"/>
  <c r="BR187" i="24"/>
  <c r="BW187" i="24" s="1"/>
  <c r="BG187" i="24"/>
  <c r="BR128" i="24"/>
  <c r="BW128" i="24" s="1"/>
  <c r="BG128" i="24"/>
  <c r="BR163" i="24"/>
  <c r="BW163" i="24" s="1"/>
  <c r="BG163" i="24"/>
  <c r="BR131" i="24"/>
  <c r="BW131" i="24" s="1"/>
  <c r="BG131" i="24"/>
  <c r="BR151" i="24"/>
  <c r="BW151" i="24" s="1"/>
  <c r="BG151" i="24"/>
  <c r="BR158" i="24"/>
  <c r="BW158" i="24" s="1"/>
  <c r="BG158" i="24"/>
  <c r="BG200" i="24"/>
  <c r="BR200" i="24"/>
  <c r="BW200" i="24" s="1"/>
  <c r="BR116" i="24"/>
  <c r="BW116" i="24" s="1"/>
  <c r="BG116" i="24"/>
  <c r="BD172" i="24"/>
  <c r="AY172" i="24"/>
  <c r="AZ172" i="24" s="1"/>
  <c r="BE172" i="24"/>
  <c r="BS172" i="24" s="1"/>
  <c r="BE149" i="24"/>
  <c r="BS149" i="24" s="1"/>
  <c r="BD149" i="24"/>
  <c r="AY149" i="24"/>
  <c r="AZ149" i="24" s="1"/>
  <c r="BE119" i="24"/>
  <c r="BS119" i="24" s="1"/>
  <c r="BD119" i="24"/>
  <c r="AY119" i="24"/>
  <c r="AZ119" i="24" s="1"/>
  <c r="AY123" i="24"/>
  <c r="AZ123" i="24" s="1"/>
  <c r="BD123" i="24"/>
  <c r="BE123" i="24"/>
  <c r="BS123" i="24" s="1"/>
  <c r="BE136" i="24"/>
  <c r="BS136" i="24" s="1"/>
  <c r="BD136" i="24"/>
  <c r="AY136" i="24"/>
  <c r="AZ136" i="24" s="1"/>
  <c r="BE156" i="24"/>
  <c r="BS156" i="24" s="1"/>
  <c r="BD156" i="24"/>
  <c r="AY156" i="24"/>
  <c r="AZ156" i="24" s="1"/>
  <c r="BD188" i="24"/>
  <c r="AY188" i="24"/>
  <c r="AZ188" i="24" s="1"/>
  <c r="BE188" i="24"/>
  <c r="BS188" i="24" s="1"/>
  <c r="AY206" i="24"/>
  <c r="AZ206" i="24" s="1"/>
  <c r="BD206" i="24"/>
  <c r="BE206" i="24"/>
  <c r="BS206" i="24" s="1"/>
  <c r="AY181" i="24"/>
  <c r="AZ181" i="24" s="1"/>
  <c r="BD181" i="24"/>
  <c r="BE181" i="24"/>
  <c r="BS181" i="24" s="1"/>
  <c r="BE159" i="24"/>
  <c r="BS159" i="24" s="1"/>
  <c r="AY159" i="24"/>
  <c r="AZ159" i="24" s="1"/>
  <c r="BD159" i="24"/>
  <c r="BE191" i="24"/>
  <c r="BS191" i="24" s="1"/>
  <c r="BD191" i="24"/>
  <c r="AY191" i="24"/>
  <c r="AZ191" i="24" s="1"/>
  <c r="BG170" i="24"/>
  <c r="BR170" i="24"/>
  <c r="BW170" i="24" s="1"/>
  <c r="BG157" i="24"/>
  <c r="BR157" i="24"/>
  <c r="BW157" i="24" s="1"/>
  <c r="BR126" i="24"/>
  <c r="BW126" i="24" s="1"/>
  <c r="BG126" i="24"/>
  <c r="BG186" i="24"/>
  <c r="BM186" i="24" s="1"/>
  <c r="BR186" i="24"/>
  <c r="BR129" i="24"/>
  <c r="BW129" i="24" s="1"/>
  <c r="BG129" i="24"/>
  <c r="BR138" i="24"/>
  <c r="BW138" i="24" s="1"/>
  <c r="BG138" i="24"/>
  <c r="BR164" i="24"/>
  <c r="BW164" i="24" s="1"/>
  <c r="BG164" i="24"/>
  <c r="BR184" i="24"/>
  <c r="BW184" i="24" s="1"/>
  <c r="BG184" i="24"/>
  <c r="BR135" i="24"/>
  <c r="BW135" i="24" s="1"/>
  <c r="BG135" i="24"/>
  <c r="BR205" i="24"/>
  <c r="BW205" i="24" s="1"/>
  <c r="BG205" i="24"/>
  <c r="BG185" i="24"/>
  <c r="BM185" i="24" s="1"/>
  <c r="BR185" i="24"/>
  <c r="BR133" i="24"/>
  <c r="BW133" i="24" s="1"/>
  <c r="BG133" i="24"/>
  <c r="BD134" i="24"/>
  <c r="BE134" i="24"/>
  <c r="BS134" i="24" s="1"/>
  <c r="AY134" i="24"/>
  <c r="AZ134" i="24" s="1"/>
  <c r="AY169" i="24"/>
  <c r="AZ169" i="24" s="1"/>
  <c r="BE169" i="24"/>
  <c r="BS169" i="24" s="1"/>
  <c r="BD169" i="24"/>
  <c r="AY210" i="24"/>
  <c r="AZ210" i="24" s="1"/>
  <c r="BD210" i="24"/>
  <c r="BE210" i="24"/>
  <c r="BS210" i="24" s="1"/>
  <c r="AY208" i="24"/>
  <c r="AZ208" i="24" s="1"/>
  <c r="BE208" i="24"/>
  <c r="BS208" i="24" s="1"/>
  <c r="BD208" i="24"/>
  <c r="AY195" i="24"/>
  <c r="AZ195" i="24" s="1"/>
  <c r="BD195" i="24"/>
  <c r="BE195" i="24"/>
  <c r="BS195" i="24" s="1"/>
  <c r="BE209" i="24"/>
  <c r="BS209" i="24" s="1"/>
  <c r="BD209" i="24"/>
  <c r="AY209" i="24"/>
  <c r="AZ209" i="24" s="1"/>
  <c r="BD176" i="24"/>
  <c r="AY176" i="24"/>
  <c r="AZ176" i="24" s="1"/>
  <c r="BE176" i="24"/>
  <c r="BS176" i="24" s="1"/>
  <c r="BD182" i="24"/>
  <c r="AY182" i="24"/>
  <c r="AZ182" i="24" s="1"/>
  <c r="BE182" i="24"/>
  <c r="BS182" i="24" s="1"/>
  <c r="BR150" i="24"/>
  <c r="BW150" i="24" s="1"/>
  <c r="BG150" i="24"/>
  <c r="BG196" i="24"/>
  <c r="BR196" i="24"/>
  <c r="BW196" i="24" s="1"/>
  <c r="BR140" i="24"/>
  <c r="BW140" i="24" s="1"/>
  <c r="BG140" i="24"/>
  <c r="BG201" i="24"/>
  <c r="BR201" i="24"/>
  <c r="BW201" i="24" s="1"/>
  <c r="BR113" i="24"/>
  <c r="BW113" i="24" s="1"/>
  <c r="BG113" i="24"/>
  <c r="BR173" i="24"/>
  <c r="BW173" i="24" s="1"/>
  <c r="BG173" i="24"/>
  <c r="BR197" i="24"/>
  <c r="BW197" i="24" s="1"/>
  <c r="BG197" i="24"/>
  <c r="BR121" i="24"/>
  <c r="BW121" i="24" s="1"/>
  <c r="BG121" i="24"/>
  <c r="BR171" i="24"/>
  <c r="BW171" i="24" s="1"/>
  <c r="BG171" i="24"/>
  <c r="BG178" i="24"/>
  <c r="BR178" i="24"/>
  <c r="BW178" i="24" s="1"/>
  <c r="BR177" i="24"/>
  <c r="BW177" i="24" s="1"/>
  <c r="BG177" i="24"/>
  <c r="BR153" i="24"/>
  <c r="BW153" i="24" s="1"/>
  <c r="BG153" i="24"/>
  <c r="BR166" i="24"/>
  <c r="BG166" i="24"/>
  <c r="BR148" i="24"/>
  <c r="BW148" i="24" s="1"/>
  <c r="BG148" i="24"/>
  <c r="BR179" i="24"/>
  <c r="BW179" i="24" s="1"/>
  <c r="BG179" i="24"/>
  <c r="BR162" i="24"/>
  <c r="BW162" i="24" s="1"/>
  <c r="BG162" i="24"/>
  <c r="BR132" i="24"/>
  <c r="BW132" i="24" s="1"/>
  <c r="BG132" i="24"/>
  <c r="BR204" i="24"/>
  <c r="BW204" i="24" s="1"/>
  <c r="BG204" i="24"/>
  <c r="BR124" i="24"/>
  <c r="BW124" i="24" s="1"/>
  <c r="BG124" i="24"/>
  <c r="BR183" i="24"/>
  <c r="BW183" i="24" s="1"/>
  <c r="BG183" i="24"/>
  <c r="BR175" i="24"/>
  <c r="BW175" i="24" s="1"/>
  <c r="BG175" i="24"/>
  <c r="BR154" i="24"/>
  <c r="BW154" i="24" s="1"/>
  <c r="BG154" i="24"/>
  <c r="BR145" i="24"/>
  <c r="BW145" i="24" s="1"/>
  <c r="BG145" i="24"/>
  <c r="BR120" i="24"/>
  <c r="BW120" i="24" s="1"/>
  <c r="BG120" i="24"/>
  <c r="AY161" i="24"/>
  <c r="AZ161" i="24" s="1"/>
  <c r="BE161" i="24"/>
  <c r="BS161" i="24" s="1"/>
  <c r="BD161" i="24"/>
  <c r="BD168" i="24"/>
  <c r="AY168" i="24"/>
  <c r="AZ168" i="24" s="1"/>
  <c r="BE168" i="24"/>
  <c r="BS168" i="24" s="1"/>
  <c r="BE130" i="24"/>
  <c r="BS130" i="24" s="1"/>
  <c r="BD130" i="24"/>
  <c r="AY130" i="24"/>
  <c r="AZ130" i="24" s="1"/>
  <c r="BD189" i="24"/>
  <c r="BE189" i="24"/>
  <c r="BS189" i="24" s="1"/>
  <c r="AY189" i="24"/>
  <c r="AZ189" i="24" s="1"/>
  <c r="BR146" i="24"/>
  <c r="BW146" i="24" s="1"/>
  <c r="BG146" i="24"/>
  <c r="BR142" i="24"/>
  <c r="BW142" i="24" s="1"/>
  <c r="BG142" i="24"/>
  <c r="AY155" i="24"/>
  <c r="AZ155" i="24" s="1"/>
  <c r="BD155" i="24"/>
  <c r="BE155" i="24"/>
  <c r="BS155" i="24" s="1"/>
  <c r="BD192" i="24"/>
  <c r="AY192" i="24"/>
  <c r="AZ192" i="24" s="1"/>
  <c r="BE192" i="24"/>
  <c r="BS192" i="24" s="1"/>
  <c r="AY110" i="24"/>
  <c r="AZ110" i="24" s="1"/>
  <c r="BD110" i="24"/>
  <c r="BE110" i="24"/>
  <c r="BS110" i="24" s="1"/>
  <c r="BD114" i="24"/>
  <c r="BE114" i="24"/>
  <c r="BS114" i="24" s="1"/>
  <c r="AY114" i="24"/>
  <c r="AZ114" i="24" s="1"/>
  <c r="BR198" i="24"/>
  <c r="BW198" i="24" s="1"/>
  <c r="BG198" i="24"/>
  <c r="BG174" i="24"/>
  <c r="BR174" i="24"/>
  <c r="BW174" i="24" s="1"/>
  <c r="BR202" i="24"/>
  <c r="BW202" i="24" s="1"/>
  <c r="BG202" i="24"/>
  <c r="BR125" i="24"/>
  <c r="BW125" i="24" s="1"/>
  <c r="BG125" i="24"/>
  <c r="BR137" i="24"/>
  <c r="BW137" i="24" s="1"/>
  <c r="BG137" i="24"/>
  <c r="BR190" i="24"/>
  <c r="BG190" i="24"/>
  <c r="BM190" i="24" s="1"/>
  <c r="BR180" i="24"/>
  <c r="BW180" i="24" s="1"/>
  <c r="BG180" i="24"/>
  <c r="BR160" i="24"/>
  <c r="BW160" i="24" s="1"/>
  <c r="BG160" i="24"/>
  <c r="BR143" i="24"/>
  <c r="BW143" i="24" s="1"/>
  <c r="BG143" i="24"/>
  <c r="BR111" i="24"/>
  <c r="BW111" i="24" s="1"/>
  <c r="BG111" i="24"/>
  <c r="BR117" i="24"/>
  <c r="BW117" i="24" s="1"/>
  <c r="BG117" i="24"/>
  <c r="BR207" i="24"/>
  <c r="BW207" i="24" s="1"/>
  <c r="BG207" i="24"/>
  <c r="BR118" i="24"/>
  <c r="BW118" i="24" s="1"/>
  <c r="BG118" i="24"/>
  <c r="BR139" i="24"/>
  <c r="BW139" i="24" s="1"/>
  <c r="BG139" i="24"/>
  <c r="BR122" i="24"/>
  <c r="BW122" i="24" s="1"/>
  <c r="BG122" i="24"/>
  <c r="BE58" i="25"/>
  <c r="BJ58" i="25" s="1"/>
  <c r="AZ88" i="24"/>
  <c r="AZ49" i="24"/>
  <c r="BD73" i="24"/>
  <c r="BR73" i="24" s="1"/>
  <c r="BE73" i="24"/>
  <c r="BS73" i="24" s="1"/>
  <c r="BE33" i="24"/>
  <c r="BS33" i="24" s="1"/>
  <c r="BD33" i="24"/>
  <c r="BG33" i="24" s="1"/>
  <c r="BL33" i="24" s="1"/>
  <c r="BM33" i="24" s="1"/>
  <c r="BD86" i="24"/>
  <c r="BG86" i="24" s="1"/>
  <c r="BL86" i="24" s="1"/>
  <c r="BM86" i="24" s="1"/>
  <c r="BE43" i="24"/>
  <c r="BS43" i="24" s="1"/>
  <c r="BR104" i="24"/>
  <c r="BE51" i="24"/>
  <c r="BS51" i="24" s="1"/>
  <c r="BD51" i="24"/>
  <c r="BR51" i="24" s="1"/>
  <c r="BE27" i="24"/>
  <c r="BS27" i="24" s="1"/>
  <c r="BD43" i="24"/>
  <c r="BR43" i="24" s="1"/>
  <c r="BD97" i="24"/>
  <c r="BG97" i="24" s="1"/>
  <c r="BL97" i="24" s="1"/>
  <c r="BM97" i="24" s="1"/>
  <c r="BB105" i="24"/>
  <c r="B118" i="2" s="1"/>
  <c r="B119" i="2" s="1"/>
  <c r="E16" i="1" s="1"/>
  <c r="BE86" i="24"/>
  <c r="BS86" i="24" s="1"/>
  <c r="BE23" i="24"/>
  <c r="BS23" i="24" s="1"/>
  <c r="BD23" i="24"/>
  <c r="BG23" i="24" s="1"/>
  <c r="BL23" i="24" s="1"/>
  <c r="BM23" i="24" s="1"/>
  <c r="BD64" i="24"/>
  <c r="BG64" i="24" s="1"/>
  <c r="BL64" i="24" s="1"/>
  <c r="BM64" i="24" s="1"/>
  <c r="BE97" i="24"/>
  <c r="BS97" i="24" s="1"/>
  <c r="BE64" i="24"/>
  <c r="BS64" i="24" s="1"/>
  <c r="BE49" i="24"/>
  <c r="BS49" i="24" s="1"/>
  <c r="BD27" i="24"/>
  <c r="BG27" i="24" s="1"/>
  <c r="BL27" i="24" s="1"/>
  <c r="BM27" i="24" s="1"/>
  <c r="AU49" i="24"/>
  <c r="BB49" i="24" s="1"/>
  <c r="BD49" i="24"/>
  <c r="BG49" i="24" s="1"/>
  <c r="BL49" i="24" s="1"/>
  <c r="BM49" i="24" s="1"/>
  <c r="BG69" i="24"/>
  <c r="BL69" i="24" s="1"/>
  <c r="BM69" i="24" s="1"/>
  <c r="BD81" i="24"/>
  <c r="BR81" i="24" s="1"/>
  <c r="BE88" i="24"/>
  <c r="BS88" i="24" s="1"/>
  <c r="AU88" i="24"/>
  <c r="BB88" i="24" s="1"/>
  <c r="BD65" i="24"/>
  <c r="BG65" i="24" s="1"/>
  <c r="BL65" i="24" s="1"/>
  <c r="BM65" i="24" s="1"/>
  <c r="BE65" i="24"/>
  <c r="BS65" i="24" s="1"/>
  <c r="BD88" i="24"/>
  <c r="BG88" i="24" s="1"/>
  <c r="BL88" i="24" s="1"/>
  <c r="BM88" i="24" s="1"/>
  <c r="BE22" i="24"/>
  <c r="BS22" i="24" s="1"/>
  <c r="BD35" i="24"/>
  <c r="BR35" i="24" s="1"/>
  <c r="BE81" i="24"/>
  <c r="BS81" i="24" s="1"/>
  <c r="BE35" i="24"/>
  <c r="BS35" i="24" s="1"/>
  <c r="BR34" i="24"/>
  <c r="AW71" i="24"/>
  <c r="AU71" i="24"/>
  <c r="BB71" i="24" s="1"/>
  <c r="AU13" i="24"/>
  <c r="BB13" i="24" s="1"/>
  <c r="AW13" i="24"/>
  <c r="BD22" i="24"/>
  <c r="BG22" i="24" s="1"/>
  <c r="BL22" i="24" s="1"/>
  <c r="BM22" i="24" s="1"/>
  <c r="AU15" i="24"/>
  <c r="BB15" i="24" s="1"/>
  <c r="AW15" i="24"/>
  <c r="AW102" i="24"/>
  <c r="AU102" i="24"/>
  <c r="BB102" i="24" s="1"/>
  <c r="AU48" i="24"/>
  <c r="BB48" i="24" s="1"/>
  <c r="AW48" i="24"/>
  <c r="AU93" i="24"/>
  <c r="BB93" i="24" s="1"/>
  <c r="AW93" i="24"/>
  <c r="AU94" i="24"/>
  <c r="BB94" i="24" s="1"/>
  <c r="AW94" i="24"/>
  <c r="AW37" i="24"/>
  <c r="AU37" i="24"/>
  <c r="BB37" i="24" s="1"/>
  <c r="AW8" i="24"/>
  <c r="AU8" i="24"/>
  <c r="BB8" i="24" s="1"/>
  <c r="AU44" i="24"/>
  <c r="BB44" i="24" s="1"/>
  <c r="AW44" i="24"/>
  <c r="AU77" i="24"/>
  <c r="BB77" i="24" s="1"/>
  <c r="AW77" i="24"/>
  <c r="AW80" i="24"/>
  <c r="AU80" i="24"/>
  <c r="BB80" i="24" s="1"/>
  <c r="AU38" i="24"/>
  <c r="BB38" i="24" s="1"/>
  <c r="AW38" i="24"/>
  <c r="AU24" i="24"/>
  <c r="BB24" i="24" s="1"/>
  <c r="AW24" i="24"/>
  <c r="AU45" i="24"/>
  <c r="BB45" i="24" s="1"/>
  <c r="AW45" i="24"/>
  <c r="AU103" i="24"/>
  <c r="BB103" i="24" s="1"/>
  <c r="AW103" i="24"/>
  <c r="AW47" i="24"/>
  <c r="AU47" i="24"/>
  <c r="BB47" i="24" s="1"/>
  <c r="AW66" i="24"/>
  <c r="AU66" i="24"/>
  <c r="BB66" i="24" s="1"/>
  <c r="AW62" i="24"/>
  <c r="AU62" i="24"/>
  <c r="BB62" i="24" s="1"/>
  <c r="AW30" i="24"/>
  <c r="AU30" i="24"/>
  <c r="BB30" i="24" s="1"/>
  <c r="AU99" i="24"/>
  <c r="BB99" i="24" s="1"/>
  <c r="AW99" i="24"/>
  <c r="AU75" i="24"/>
  <c r="BB75" i="24" s="1"/>
  <c r="AW75" i="24"/>
  <c r="AW61" i="24"/>
  <c r="AU61" i="24"/>
  <c r="BB61" i="24" s="1"/>
  <c r="AW20" i="24"/>
  <c r="AU20" i="24"/>
  <c r="BB20" i="24" s="1"/>
  <c r="AU90" i="24"/>
  <c r="BB90" i="24" s="1"/>
  <c r="AW90" i="24"/>
  <c r="AU52" i="24"/>
  <c r="BB52" i="24" s="1"/>
  <c r="AW52" i="24"/>
  <c r="AW39" i="24"/>
  <c r="AU39" i="24"/>
  <c r="BB39" i="24" s="1"/>
  <c r="AW26" i="24"/>
  <c r="AU26" i="24"/>
  <c r="BB26" i="24" s="1"/>
  <c r="AU9" i="24"/>
  <c r="BB9" i="24" s="1"/>
  <c r="AW9" i="24"/>
  <c r="AU84" i="24"/>
  <c r="BB84" i="24" s="1"/>
  <c r="AW84" i="24"/>
  <c r="AW58" i="24"/>
  <c r="AU58" i="24"/>
  <c r="BB58" i="24" s="1"/>
  <c r="AU57" i="24"/>
  <c r="BB57" i="24" s="1"/>
  <c r="AW57" i="24"/>
  <c r="AU17" i="24"/>
  <c r="BB17" i="24" s="1"/>
  <c r="AW17" i="24"/>
  <c r="AU76" i="24"/>
  <c r="BB76" i="24" s="1"/>
  <c r="AW76" i="24"/>
  <c r="AU11" i="24"/>
  <c r="BB11" i="24" s="1"/>
  <c r="AW11" i="24"/>
  <c r="AU67" i="24"/>
  <c r="BB67" i="24" s="1"/>
  <c r="AW67" i="24"/>
  <c r="AU12" i="24"/>
  <c r="BB12" i="24" s="1"/>
  <c r="AW12" i="24"/>
  <c r="AU98" i="24"/>
  <c r="BB98" i="24" s="1"/>
  <c r="AW98" i="24"/>
  <c r="AU16" i="24"/>
  <c r="BB16" i="24" s="1"/>
  <c r="AW16" i="24"/>
  <c r="AU6" i="24"/>
  <c r="BB6" i="24" s="1"/>
  <c r="AW6" i="24"/>
  <c r="AW7" i="24"/>
  <c r="AU7" i="24"/>
  <c r="BB7" i="24" s="1"/>
  <c r="BA5" i="25"/>
  <c r="BC5" i="25"/>
  <c r="BS5" i="25" s="1"/>
  <c r="BB5" i="25"/>
  <c r="BR40" i="24"/>
  <c r="BQ95" i="25"/>
  <c r="BQ85" i="25"/>
  <c r="BQ18" i="25"/>
  <c r="BE90" i="25"/>
  <c r="BJ90" i="25" s="1"/>
  <c r="BE98" i="25"/>
  <c r="BJ98" i="25" s="1"/>
  <c r="BE55" i="25"/>
  <c r="BJ55" i="25" s="1"/>
  <c r="BE33" i="25"/>
  <c r="BJ33" i="25" s="1"/>
  <c r="BE65" i="25"/>
  <c r="BJ65" i="25" s="1"/>
  <c r="BE60" i="25"/>
  <c r="BJ60" i="25" s="1"/>
  <c r="BR52" i="25"/>
  <c r="BR74" i="25"/>
  <c r="BR27" i="25"/>
  <c r="BR42" i="25"/>
  <c r="BR102" i="25"/>
  <c r="BR77" i="25"/>
  <c r="BR26" i="25"/>
  <c r="BR105" i="25"/>
  <c r="BR39" i="25"/>
  <c r="BR60" i="25"/>
  <c r="BU60" i="25" s="1"/>
  <c r="BR98" i="25"/>
  <c r="BU98" i="25" s="1"/>
  <c r="BR92" i="25"/>
  <c r="BR94" i="25"/>
  <c r="BR91" i="25"/>
  <c r="BR67" i="25"/>
  <c r="BR64" i="25"/>
  <c r="BR41" i="25"/>
  <c r="BR79" i="25"/>
  <c r="BR76" i="25"/>
  <c r="BR11" i="25"/>
  <c r="BR104" i="25"/>
  <c r="BR96" i="25"/>
  <c r="BR24" i="25"/>
  <c r="BR51" i="25"/>
  <c r="BR47" i="25"/>
  <c r="BR46" i="25"/>
  <c r="BR8" i="25"/>
  <c r="BR50" i="25"/>
  <c r="BR49" i="25"/>
  <c r="BR56" i="25"/>
  <c r="BR34" i="25"/>
  <c r="BR70" i="25"/>
  <c r="BR18" i="25"/>
  <c r="BR65" i="25"/>
  <c r="BU65" i="25" s="1"/>
  <c r="BR57" i="25"/>
  <c r="BR66" i="25"/>
  <c r="BR43" i="25"/>
  <c r="BU43" i="25" s="1"/>
  <c r="BR84" i="25"/>
  <c r="BR13" i="25"/>
  <c r="BR35" i="25"/>
  <c r="BR36" i="25"/>
  <c r="BR25" i="25"/>
  <c r="BR63" i="25"/>
  <c r="BR28" i="25"/>
  <c r="BR40" i="25"/>
  <c r="BR37" i="25"/>
  <c r="BR33" i="25"/>
  <c r="BU33" i="25" s="1"/>
  <c r="BR10" i="25"/>
  <c r="BR20" i="25"/>
  <c r="BR97" i="25"/>
  <c r="BR45" i="25"/>
  <c r="BR82" i="25"/>
  <c r="BR61" i="25"/>
  <c r="BR69" i="25"/>
  <c r="BR75" i="25"/>
  <c r="BR80" i="25"/>
  <c r="BR83" i="25"/>
  <c r="BR93" i="25"/>
  <c r="BR78" i="25"/>
  <c r="BR100" i="25"/>
  <c r="BR103" i="25"/>
  <c r="BR88" i="25"/>
  <c r="BR71" i="25"/>
  <c r="BR48" i="25"/>
  <c r="BR86" i="25"/>
  <c r="BR81" i="25"/>
  <c r="BR90" i="25"/>
  <c r="BU90" i="25" s="1"/>
  <c r="BR95" i="25"/>
  <c r="BR23" i="25"/>
  <c r="BR14" i="25"/>
  <c r="BR68" i="25"/>
  <c r="BR9" i="25"/>
  <c r="BR62" i="25"/>
  <c r="BR87" i="25"/>
  <c r="BR30" i="25"/>
  <c r="BR53" i="25"/>
  <c r="BR17" i="25"/>
  <c r="BR19" i="25"/>
  <c r="BR44" i="25"/>
  <c r="BR12" i="25"/>
  <c r="BR72" i="25"/>
  <c r="BR15" i="25"/>
  <c r="BR16" i="25"/>
  <c r="BR59" i="25"/>
  <c r="BR38" i="25"/>
  <c r="BR31" i="25"/>
  <c r="BR22" i="25"/>
  <c r="BR101" i="25"/>
  <c r="BR29" i="25"/>
  <c r="BR54" i="25"/>
  <c r="BR89" i="25"/>
  <c r="BR21" i="25"/>
  <c r="BR55" i="25"/>
  <c r="BU55" i="25" s="1"/>
  <c r="BR32" i="25"/>
  <c r="BU32" i="25" s="1"/>
  <c r="BR99" i="25"/>
  <c r="BU99" i="25" s="1"/>
  <c r="BR73" i="25"/>
  <c r="BU73" i="25" s="1"/>
  <c r="BR85" i="25"/>
  <c r="BR7" i="25"/>
  <c r="BR6" i="25"/>
  <c r="BE43" i="25"/>
  <c r="BJ43" i="25" s="1"/>
  <c r="BQ57" i="25"/>
  <c r="BE73" i="25"/>
  <c r="BJ73" i="25" s="1"/>
  <c r="BQ66" i="25"/>
  <c r="BQ84" i="25"/>
  <c r="BE32" i="25"/>
  <c r="BJ32" i="25" s="1"/>
  <c r="BE99" i="25"/>
  <c r="BJ99" i="25" s="1"/>
  <c r="BQ45" i="25"/>
  <c r="BE45" i="25"/>
  <c r="BJ45" i="25" s="1"/>
  <c r="BQ23" i="25"/>
  <c r="BU23" i="25" s="1"/>
  <c r="BE23" i="25"/>
  <c r="BJ23" i="25" s="1"/>
  <c r="BQ36" i="25"/>
  <c r="BE36" i="25"/>
  <c r="BJ36" i="25" s="1"/>
  <c r="BE6" i="25"/>
  <c r="BJ6" i="25" s="1"/>
  <c r="BQ6" i="25"/>
  <c r="BQ21" i="25"/>
  <c r="BE21" i="25"/>
  <c r="BJ21" i="25" s="1"/>
  <c r="BQ92" i="25"/>
  <c r="BU92" i="25" s="1"/>
  <c r="BE92" i="25"/>
  <c r="BJ92" i="25" s="1"/>
  <c r="BQ94" i="25"/>
  <c r="BE94" i="25"/>
  <c r="BJ94" i="25" s="1"/>
  <c r="BQ91" i="25"/>
  <c r="BE91" i="25"/>
  <c r="BJ91" i="25" s="1"/>
  <c r="BQ67" i="25"/>
  <c r="BE67" i="25"/>
  <c r="BJ67" i="25" s="1"/>
  <c r="BQ19" i="25"/>
  <c r="BE19" i="25"/>
  <c r="BJ19" i="25" s="1"/>
  <c r="BQ64" i="25"/>
  <c r="BE64" i="25"/>
  <c r="BJ64" i="25" s="1"/>
  <c r="BQ15" i="25"/>
  <c r="BE15" i="25"/>
  <c r="BJ15" i="25" s="1"/>
  <c r="BQ59" i="25"/>
  <c r="BE59" i="25"/>
  <c r="BJ59" i="25" s="1"/>
  <c r="BQ38" i="25"/>
  <c r="BU38" i="25" s="1"/>
  <c r="BE38" i="25"/>
  <c r="BJ38" i="25" s="1"/>
  <c r="BQ104" i="25"/>
  <c r="BE104" i="25"/>
  <c r="BJ104" i="25" s="1"/>
  <c r="BQ96" i="25"/>
  <c r="BE96" i="25"/>
  <c r="BJ96" i="25" s="1"/>
  <c r="BQ24" i="25"/>
  <c r="BE24" i="25"/>
  <c r="BJ24" i="25" s="1"/>
  <c r="BQ46" i="25"/>
  <c r="BE46" i="25"/>
  <c r="BJ46" i="25" s="1"/>
  <c r="BQ8" i="25"/>
  <c r="BE8" i="25"/>
  <c r="BJ8" i="25" s="1"/>
  <c r="BQ54" i="25"/>
  <c r="BE54" i="25"/>
  <c r="BJ54" i="25" s="1"/>
  <c r="BQ89" i="25"/>
  <c r="BE89" i="25"/>
  <c r="BJ89" i="25" s="1"/>
  <c r="BQ86" i="25"/>
  <c r="BU86" i="25" s="1"/>
  <c r="BE86" i="25"/>
  <c r="BJ86" i="25" s="1"/>
  <c r="BQ81" i="25"/>
  <c r="BE81" i="25"/>
  <c r="BJ81" i="25" s="1"/>
  <c r="BQ52" i="25"/>
  <c r="BU52" i="25" s="1"/>
  <c r="BE52" i="25"/>
  <c r="BJ52" i="25" s="1"/>
  <c r="BQ13" i="25"/>
  <c r="BE13" i="25"/>
  <c r="BJ13" i="25" s="1"/>
  <c r="BQ20" i="25"/>
  <c r="BU20" i="25" s="1"/>
  <c r="BE20" i="25"/>
  <c r="BJ20" i="25" s="1"/>
  <c r="BQ97" i="25"/>
  <c r="BE97" i="25"/>
  <c r="BJ97" i="25" s="1"/>
  <c r="BQ74" i="25"/>
  <c r="BE74" i="25"/>
  <c r="BJ74" i="25" s="1"/>
  <c r="BQ35" i="25"/>
  <c r="BE35" i="25"/>
  <c r="BJ35" i="25" s="1"/>
  <c r="BQ61" i="25"/>
  <c r="BU61" i="25" s="1"/>
  <c r="BE61" i="25"/>
  <c r="BJ61" i="25" s="1"/>
  <c r="BQ69" i="25"/>
  <c r="BE69" i="25"/>
  <c r="BJ69" i="25" s="1"/>
  <c r="BQ75" i="25"/>
  <c r="BE75" i="25"/>
  <c r="BJ75" i="25" s="1"/>
  <c r="BQ80" i="25"/>
  <c r="BE80" i="25"/>
  <c r="BJ80" i="25" s="1"/>
  <c r="BQ83" i="25"/>
  <c r="BU83" i="25" s="1"/>
  <c r="BE83" i="25"/>
  <c r="BJ83" i="25" s="1"/>
  <c r="BQ25" i="25"/>
  <c r="BE25" i="25"/>
  <c r="BJ25" i="25" s="1"/>
  <c r="BQ68" i="25"/>
  <c r="BE68" i="25"/>
  <c r="BJ68" i="25" s="1"/>
  <c r="BQ77" i="25"/>
  <c r="BE77" i="25"/>
  <c r="BJ77" i="25" s="1"/>
  <c r="BQ63" i="25"/>
  <c r="BE63" i="25"/>
  <c r="BJ63" i="25" s="1"/>
  <c r="BE9" i="25"/>
  <c r="BJ9" i="25" s="1"/>
  <c r="BQ9" i="25"/>
  <c r="BQ28" i="25"/>
  <c r="BU28" i="25" s="1"/>
  <c r="BE28" i="25"/>
  <c r="BJ28" i="25" s="1"/>
  <c r="BQ26" i="25"/>
  <c r="BE26" i="25"/>
  <c r="BJ26" i="25" s="1"/>
  <c r="BQ62" i="25"/>
  <c r="BU62" i="25" s="1"/>
  <c r="BE62" i="25"/>
  <c r="BJ62" i="25" s="1"/>
  <c r="BQ105" i="25"/>
  <c r="BE105" i="25"/>
  <c r="BJ105" i="25" s="1"/>
  <c r="BQ71" i="25"/>
  <c r="BE71" i="25"/>
  <c r="BJ71" i="25" s="1"/>
  <c r="BQ48" i="25"/>
  <c r="BE48" i="25"/>
  <c r="BJ48" i="25" s="1"/>
  <c r="BQ56" i="25"/>
  <c r="BE56" i="25"/>
  <c r="BJ56" i="25" s="1"/>
  <c r="BQ34" i="25"/>
  <c r="BU34" i="25" s="1"/>
  <c r="BE34" i="25"/>
  <c r="BJ34" i="25" s="1"/>
  <c r="BQ70" i="25"/>
  <c r="BE70" i="25"/>
  <c r="BJ70" i="25" s="1"/>
  <c r="BQ10" i="25"/>
  <c r="BE10" i="25"/>
  <c r="BJ10" i="25" s="1"/>
  <c r="BQ82" i="25"/>
  <c r="BE82" i="25"/>
  <c r="BJ82" i="25" s="1"/>
  <c r="BQ27" i="25"/>
  <c r="BE27" i="25"/>
  <c r="BJ27" i="25" s="1"/>
  <c r="BQ42" i="25"/>
  <c r="BU42" i="25" s="1"/>
  <c r="BE42" i="25"/>
  <c r="BJ42" i="25" s="1"/>
  <c r="BQ14" i="25"/>
  <c r="BE14" i="25"/>
  <c r="BJ14" i="25" s="1"/>
  <c r="BQ102" i="25"/>
  <c r="BU102" i="25" s="1"/>
  <c r="BE102" i="25"/>
  <c r="BJ102" i="25" s="1"/>
  <c r="BQ93" i="25"/>
  <c r="BE93" i="25"/>
  <c r="BJ93" i="25" s="1"/>
  <c r="BQ78" i="25"/>
  <c r="BE78" i="25"/>
  <c r="BJ78" i="25" s="1"/>
  <c r="BQ100" i="25"/>
  <c r="BE100" i="25"/>
  <c r="BJ100" i="25" s="1"/>
  <c r="BQ103" i="25"/>
  <c r="BU103" i="25" s="1"/>
  <c r="BE103" i="25"/>
  <c r="BJ103" i="25" s="1"/>
  <c r="BQ88" i="25"/>
  <c r="BE88" i="25"/>
  <c r="BJ88" i="25" s="1"/>
  <c r="BQ40" i="25"/>
  <c r="BU40" i="25" s="1"/>
  <c r="BE40" i="25"/>
  <c r="BJ40" i="25" s="1"/>
  <c r="BQ39" i="25"/>
  <c r="BE39" i="25"/>
  <c r="BJ39" i="25" s="1"/>
  <c r="BQ37" i="25"/>
  <c r="BE37" i="25"/>
  <c r="BJ37" i="25" s="1"/>
  <c r="BQ17" i="25"/>
  <c r="BE17" i="25"/>
  <c r="BJ17" i="25" s="1"/>
  <c r="BQ16" i="25"/>
  <c r="BE16" i="25"/>
  <c r="BJ16" i="25" s="1"/>
  <c r="BQ51" i="25"/>
  <c r="BE51" i="25"/>
  <c r="BJ51" i="25" s="1"/>
  <c r="BQ47" i="25"/>
  <c r="BE47" i="25"/>
  <c r="BJ47" i="25" s="1"/>
  <c r="BE7" i="25"/>
  <c r="BJ7" i="25" s="1"/>
  <c r="BQ7" i="25"/>
  <c r="BQ30" i="25"/>
  <c r="BE30" i="25"/>
  <c r="BJ30" i="25" s="1"/>
  <c r="BQ53" i="25"/>
  <c r="BE53" i="25"/>
  <c r="BJ53" i="25" s="1"/>
  <c r="BQ44" i="25"/>
  <c r="BE44" i="25"/>
  <c r="BJ44" i="25" s="1"/>
  <c r="BQ12" i="25"/>
  <c r="BE12" i="25"/>
  <c r="BJ12" i="25" s="1"/>
  <c r="BQ72" i="25"/>
  <c r="BE72" i="25"/>
  <c r="BJ72" i="25" s="1"/>
  <c r="BQ41" i="25"/>
  <c r="BE41" i="25"/>
  <c r="BJ41" i="25" s="1"/>
  <c r="BQ79" i="25"/>
  <c r="BE79" i="25"/>
  <c r="BJ79" i="25" s="1"/>
  <c r="BQ76" i="25"/>
  <c r="BE76" i="25"/>
  <c r="BJ76" i="25" s="1"/>
  <c r="BQ11" i="25"/>
  <c r="BU11" i="25" s="1"/>
  <c r="BE11" i="25"/>
  <c r="BJ11" i="25" s="1"/>
  <c r="BQ31" i="25"/>
  <c r="BE31" i="25"/>
  <c r="BJ31" i="25" s="1"/>
  <c r="BQ22" i="25"/>
  <c r="BE22" i="25"/>
  <c r="BJ22" i="25" s="1"/>
  <c r="BQ101" i="25"/>
  <c r="BE101" i="25"/>
  <c r="BJ101" i="25" s="1"/>
  <c r="BQ29" i="25"/>
  <c r="BE29" i="25"/>
  <c r="BJ29" i="25" s="1"/>
  <c r="BQ50" i="25"/>
  <c r="BE50" i="25"/>
  <c r="BJ50" i="25" s="1"/>
  <c r="BQ49" i="25"/>
  <c r="BU49" i="25" s="1"/>
  <c r="BE49" i="25"/>
  <c r="BJ49" i="25" s="1"/>
  <c r="BQ87" i="25"/>
  <c r="BE87" i="25"/>
  <c r="BJ87" i="25" s="1"/>
  <c r="BR79" i="24"/>
  <c r="BG100" i="24"/>
  <c r="BL100" i="24" s="1"/>
  <c r="BM100" i="24" s="1"/>
  <c r="BR54" i="24"/>
  <c r="BR14" i="24"/>
  <c r="BR95" i="24"/>
  <c r="BG83" i="24"/>
  <c r="BL83" i="24" s="1"/>
  <c r="BM83" i="24" s="1"/>
  <c r="BG50" i="24"/>
  <c r="BL50" i="24" s="1"/>
  <c r="BM50" i="24" s="1"/>
  <c r="BG70" i="24"/>
  <c r="BL70" i="24" s="1"/>
  <c r="BM70" i="24" s="1"/>
  <c r="BG25" i="24"/>
  <c r="BL25" i="24" s="1"/>
  <c r="BM25" i="24" s="1"/>
  <c r="BG60" i="24"/>
  <c r="BL60" i="24" s="1"/>
  <c r="BM60" i="24" s="1"/>
  <c r="BG42" i="24"/>
  <c r="BL42" i="24" s="1"/>
  <c r="BM42" i="24" s="1"/>
  <c r="BG55" i="24"/>
  <c r="BL55" i="24" s="1"/>
  <c r="BM55" i="24" s="1"/>
  <c r="BG28" i="24"/>
  <c r="BL28" i="24" s="1"/>
  <c r="BM28" i="24" s="1"/>
  <c r="BG10" i="24"/>
  <c r="BL10" i="24" s="1"/>
  <c r="BM10" i="24" s="1"/>
  <c r="BG101" i="24"/>
  <c r="BL101" i="24" s="1"/>
  <c r="BM101" i="24" s="1"/>
  <c r="BG19" i="24"/>
  <c r="BL19" i="24" s="1"/>
  <c r="BM19" i="24" s="1"/>
  <c r="BG63" i="24"/>
  <c r="BL63" i="24" s="1"/>
  <c r="BM63" i="24" s="1"/>
  <c r="BR41" i="24"/>
  <c r="BG72" i="24"/>
  <c r="BL72" i="24" s="1"/>
  <c r="BM72" i="24" s="1"/>
  <c r="BG46" i="24"/>
  <c r="BL46" i="24" s="1"/>
  <c r="BM46" i="24" s="1"/>
  <c r="BR91" i="24"/>
  <c r="BR29" i="24"/>
  <c r="BR59" i="24"/>
  <c r="BR85" i="24"/>
  <c r="BR96" i="24"/>
  <c r="BG31" i="24"/>
  <c r="BL31" i="24" s="1"/>
  <c r="BM31" i="24" s="1"/>
  <c r="BG56" i="24"/>
  <c r="BL56" i="24" s="1"/>
  <c r="BM56" i="24" s="1"/>
  <c r="BG18" i="24"/>
  <c r="BL18" i="24" s="1"/>
  <c r="BM18" i="24" s="1"/>
  <c r="BR82" i="24"/>
  <c r="BR36" i="24"/>
  <c r="BR92" i="24"/>
  <c r="BR68" i="24"/>
  <c r="BR87" i="24"/>
  <c r="BR74" i="24"/>
  <c r="BR78" i="24"/>
  <c r="BR105" i="24"/>
  <c r="BR21" i="24"/>
  <c r="BR89" i="24"/>
  <c r="B122" i="2"/>
  <c r="B128" i="2"/>
  <c r="E19" i="1" s="1"/>
  <c r="AZ106" i="19"/>
  <c r="BL106" i="19" s="1"/>
  <c r="BM106" i="19" s="1"/>
  <c r="BZ106" i="19" s="1"/>
  <c r="BK106" i="19"/>
  <c r="B257" i="2"/>
  <c r="BI106" i="19"/>
  <c r="BJ106" i="19"/>
  <c r="BC106" i="19"/>
  <c r="BB106" i="19"/>
  <c r="BD106" i="19"/>
  <c r="BG106" i="19"/>
  <c r="BU106" i="19"/>
  <c r="CA106" i="19" s="1"/>
  <c r="BH106" i="19"/>
  <c r="BA106" i="19"/>
  <c r="BF106" i="19"/>
  <c r="BS106" i="19"/>
  <c r="BE106" i="19"/>
  <c r="BU41" i="25" l="1"/>
  <c r="BX41" i="25" s="1"/>
  <c r="BZ41" i="25" s="1"/>
  <c r="CA41" i="25" s="1"/>
  <c r="BU17" i="25"/>
  <c r="BX17" i="25" s="1"/>
  <c r="BZ17" i="25" s="1"/>
  <c r="CA17" i="25" s="1"/>
  <c r="BU100" i="25"/>
  <c r="BX100" i="25" s="1"/>
  <c r="BZ100" i="25" s="1"/>
  <c r="CA100" i="25" s="1"/>
  <c r="BU10" i="25"/>
  <c r="BX10" i="25" s="1"/>
  <c r="BZ10" i="25" s="1"/>
  <c r="CA10" i="25" s="1"/>
  <c r="BU105" i="25"/>
  <c r="BW105" i="25" s="1"/>
  <c r="BU80" i="25"/>
  <c r="BW80" i="25" s="1"/>
  <c r="BU35" i="25"/>
  <c r="BW35" i="25" s="1"/>
  <c r="BU59" i="25"/>
  <c r="BW59" i="25" s="1"/>
  <c r="BU64" i="25"/>
  <c r="BX64" i="25" s="1"/>
  <c r="BZ64" i="25" s="1"/>
  <c r="CA64" i="25" s="1"/>
  <c r="BU21" i="25"/>
  <c r="BW21" i="25" s="1"/>
  <c r="BU18" i="25"/>
  <c r="BX18" i="25" s="1"/>
  <c r="BZ18" i="25" s="1"/>
  <c r="CA18" i="25" s="1"/>
  <c r="BK65" i="25"/>
  <c r="BX65" i="25"/>
  <c r="BZ65" i="25" s="1"/>
  <c r="BK49" i="25"/>
  <c r="BX49" i="25"/>
  <c r="BZ49" i="25" s="1"/>
  <c r="CA49" i="25" s="1"/>
  <c r="BK22" i="25"/>
  <c r="BK79" i="25"/>
  <c r="BK44" i="25"/>
  <c r="BK47" i="25"/>
  <c r="BK37" i="25"/>
  <c r="BK78" i="25"/>
  <c r="BX42" i="25"/>
  <c r="BZ42" i="25" s="1"/>
  <c r="CA42" i="25" s="1"/>
  <c r="BK42" i="25"/>
  <c r="BK70" i="25"/>
  <c r="BK71" i="25"/>
  <c r="BX28" i="25"/>
  <c r="BZ28" i="25" s="1"/>
  <c r="CA28" i="25" s="1"/>
  <c r="BK28" i="25"/>
  <c r="BK68" i="25"/>
  <c r="BK75" i="25"/>
  <c r="BK74" i="25"/>
  <c r="BX52" i="25"/>
  <c r="BZ52" i="25" s="1"/>
  <c r="BK52" i="25"/>
  <c r="BK54" i="25"/>
  <c r="BK96" i="25"/>
  <c r="BK15" i="25"/>
  <c r="BK91" i="25"/>
  <c r="BU6" i="25"/>
  <c r="BW6" i="25" s="1"/>
  <c r="BX99" i="25"/>
  <c r="BZ99" i="25" s="1"/>
  <c r="CA99" i="25" s="1"/>
  <c r="BK99" i="25"/>
  <c r="BU22" i="25"/>
  <c r="BX22" i="25" s="1"/>
  <c r="BZ22" i="25" s="1"/>
  <c r="CA22" i="25" s="1"/>
  <c r="BU44" i="25"/>
  <c r="BX44" i="25" s="1"/>
  <c r="BZ44" i="25" s="1"/>
  <c r="BU30" i="25"/>
  <c r="BX30" i="25" s="1"/>
  <c r="BZ30" i="25" s="1"/>
  <c r="CA30" i="25" s="1"/>
  <c r="BU16" i="25"/>
  <c r="BX16" i="25" s="1"/>
  <c r="BZ16" i="25" s="1"/>
  <c r="CA16" i="25" s="1"/>
  <c r="BU37" i="25"/>
  <c r="BX37" i="25" s="1"/>
  <c r="BZ37" i="25" s="1"/>
  <c r="CA37" i="25" s="1"/>
  <c r="BU71" i="25"/>
  <c r="BX71" i="25" s="1"/>
  <c r="BZ71" i="25" s="1"/>
  <c r="CA71" i="25" s="1"/>
  <c r="BU74" i="25"/>
  <c r="BX74" i="25" s="1"/>
  <c r="BZ74" i="25" s="1"/>
  <c r="BU54" i="25"/>
  <c r="BX54" i="25" s="1"/>
  <c r="BZ54" i="25" s="1"/>
  <c r="BU46" i="25"/>
  <c r="BX46" i="25" s="1"/>
  <c r="BZ46" i="25" s="1"/>
  <c r="BU96" i="25"/>
  <c r="BX96" i="25" s="1"/>
  <c r="BZ96" i="25" s="1"/>
  <c r="CA96" i="25" s="1"/>
  <c r="BU15" i="25"/>
  <c r="BX15" i="25" s="1"/>
  <c r="BZ15" i="25" s="1"/>
  <c r="CA15" i="25" s="1"/>
  <c r="BU19" i="25"/>
  <c r="BW19" i="25" s="1"/>
  <c r="BU91" i="25"/>
  <c r="BX91" i="25" s="1"/>
  <c r="BZ91" i="25" s="1"/>
  <c r="BX6" i="25"/>
  <c r="BZ6" i="25" s="1"/>
  <c r="CA6" i="25" s="1"/>
  <c r="BK6" i="25"/>
  <c r="BX32" i="25"/>
  <c r="BZ32" i="25" s="1"/>
  <c r="BK32" i="25"/>
  <c r="BX55" i="25"/>
  <c r="BK55" i="25"/>
  <c r="BK7" i="25"/>
  <c r="BK9" i="25"/>
  <c r="BX90" i="25"/>
  <c r="BZ90" i="25" s="1"/>
  <c r="CA90" i="25" s="1"/>
  <c r="BK90" i="25"/>
  <c r="BX58" i="25"/>
  <c r="BZ58" i="25" s="1"/>
  <c r="CA58" i="25" s="1"/>
  <c r="BK58" i="25"/>
  <c r="BK29" i="25"/>
  <c r="BX11" i="25"/>
  <c r="BZ11" i="25" s="1"/>
  <c r="CA11" i="25" s="1"/>
  <c r="BK11" i="25"/>
  <c r="BK72" i="25"/>
  <c r="BK30" i="25"/>
  <c r="BK16" i="25"/>
  <c r="BX40" i="25"/>
  <c r="BZ40" i="25" s="1"/>
  <c r="BK40" i="25"/>
  <c r="BX103" i="25"/>
  <c r="BZ103" i="25" s="1"/>
  <c r="BK103" i="25"/>
  <c r="BX102" i="25"/>
  <c r="BZ102" i="25" s="1"/>
  <c r="BK102" i="25"/>
  <c r="BK82" i="25"/>
  <c r="BK56" i="25"/>
  <c r="BX62" i="25"/>
  <c r="BZ62" i="25" s="1"/>
  <c r="CA62" i="25" s="1"/>
  <c r="BK62" i="25"/>
  <c r="BK63" i="25"/>
  <c r="BX83" i="25"/>
  <c r="BZ83" i="25" s="1"/>
  <c r="BK83" i="25"/>
  <c r="BK61" i="25"/>
  <c r="BX61" i="25"/>
  <c r="BX20" i="25"/>
  <c r="BZ20" i="25" s="1"/>
  <c r="BK20" i="25"/>
  <c r="BX86" i="25"/>
  <c r="BZ86" i="25" s="1"/>
  <c r="CA86" i="25" s="1"/>
  <c r="BK86" i="25"/>
  <c r="BK46" i="25"/>
  <c r="BX38" i="25"/>
  <c r="BZ38" i="25" s="1"/>
  <c r="CA38" i="25" s="1"/>
  <c r="BK38" i="25"/>
  <c r="BK19" i="25"/>
  <c r="BK92" i="25"/>
  <c r="BX92" i="25"/>
  <c r="BZ92" i="25" s="1"/>
  <c r="CA92" i="25" s="1"/>
  <c r="BX23" i="25"/>
  <c r="BZ23" i="25" s="1"/>
  <c r="CA23" i="25" s="1"/>
  <c r="BK23" i="25"/>
  <c r="BK73" i="25"/>
  <c r="BX73" i="25"/>
  <c r="BZ73" i="25" s="1"/>
  <c r="CA73" i="25" s="1"/>
  <c r="BK33" i="25"/>
  <c r="BX33" i="25"/>
  <c r="BZ33" i="25" s="1"/>
  <c r="CA33" i="25" s="1"/>
  <c r="BK87" i="25"/>
  <c r="BK50" i="25"/>
  <c r="BK101" i="25"/>
  <c r="BK31" i="25"/>
  <c r="BK76" i="25"/>
  <c r="BK41" i="25"/>
  <c r="BK12" i="25"/>
  <c r="BK53" i="25"/>
  <c r="BU7" i="25"/>
  <c r="BW7" i="25" s="1"/>
  <c r="BK51" i="25"/>
  <c r="BK17" i="25"/>
  <c r="BK39" i="25"/>
  <c r="BK88" i="25"/>
  <c r="BK100" i="25"/>
  <c r="BK93" i="25"/>
  <c r="BK14" i="25"/>
  <c r="BK27" i="25"/>
  <c r="BK10" i="25"/>
  <c r="BX34" i="25"/>
  <c r="BZ34" i="25" s="1"/>
  <c r="CA34" i="25" s="1"/>
  <c r="BK34" i="25"/>
  <c r="BK48" i="25"/>
  <c r="BK105" i="25"/>
  <c r="E45" i="1" s="1"/>
  <c r="E46" i="1" s="1"/>
  <c r="BK26" i="25"/>
  <c r="BK77" i="25"/>
  <c r="BK25" i="25"/>
  <c r="BK80" i="25"/>
  <c r="BK69" i="25"/>
  <c r="BK35" i="25"/>
  <c r="BK97" i="25"/>
  <c r="BK13" i="25"/>
  <c r="BK81" i="25"/>
  <c r="BK89" i="25"/>
  <c r="BK8" i="25"/>
  <c r="BK24" i="25"/>
  <c r="BK104" i="25"/>
  <c r="BK59" i="25"/>
  <c r="BK64" i="25"/>
  <c r="BK67" i="25"/>
  <c r="BK94" i="25"/>
  <c r="BK21" i="25"/>
  <c r="BK36" i="25"/>
  <c r="BK45" i="25"/>
  <c r="BX43" i="25"/>
  <c r="BZ43" i="25" s="1"/>
  <c r="CA43" i="25" s="1"/>
  <c r="BK43" i="25"/>
  <c r="BX60" i="25"/>
  <c r="BZ60" i="25" s="1"/>
  <c r="BK60" i="25"/>
  <c r="BX98" i="25"/>
  <c r="BZ98" i="25" s="1"/>
  <c r="BK98" i="25"/>
  <c r="BW40" i="25"/>
  <c r="BW42" i="25"/>
  <c r="BW83" i="25"/>
  <c r="BW20" i="25"/>
  <c r="BW92" i="25"/>
  <c r="BW32" i="25"/>
  <c r="BW60" i="25"/>
  <c r="BW49" i="25"/>
  <c r="BW11" i="25"/>
  <c r="BW34" i="25"/>
  <c r="BW99" i="25"/>
  <c r="BW90" i="25"/>
  <c r="BW33" i="25"/>
  <c r="BW98" i="25"/>
  <c r="BW103" i="25"/>
  <c r="BW62" i="25"/>
  <c r="BW61" i="25"/>
  <c r="BW52" i="25"/>
  <c r="BW38" i="25"/>
  <c r="BW23" i="25"/>
  <c r="BW65" i="25"/>
  <c r="BW55" i="25"/>
  <c r="BW43" i="25"/>
  <c r="BW102" i="25"/>
  <c r="BW28" i="25"/>
  <c r="BW86" i="25"/>
  <c r="BW73" i="25"/>
  <c r="BW58" i="25"/>
  <c r="BU50" i="25"/>
  <c r="BX50" i="25" s="1"/>
  <c r="BU51" i="25"/>
  <c r="BX51" i="25" s="1"/>
  <c r="BU78" i="25"/>
  <c r="BX78" i="25" s="1"/>
  <c r="BU63" i="25"/>
  <c r="BX63" i="25" s="1"/>
  <c r="BU75" i="25"/>
  <c r="BX75" i="25" s="1"/>
  <c r="BU101" i="25"/>
  <c r="BX101" i="25" s="1"/>
  <c r="BU76" i="25"/>
  <c r="BX76" i="25" s="1"/>
  <c r="BU12" i="25"/>
  <c r="BX12" i="25" s="1"/>
  <c r="BU53" i="25"/>
  <c r="BX53" i="25" s="1"/>
  <c r="BU82" i="25"/>
  <c r="BX82" i="25" s="1"/>
  <c r="BU70" i="25"/>
  <c r="BX70" i="25" s="1"/>
  <c r="BU9" i="25"/>
  <c r="BX9" i="25" s="1"/>
  <c r="BU57" i="25"/>
  <c r="BX57" i="25" s="1"/>
  <c r="BU68" i="25"/>
  <c r="BX68" i="25" s="1"/>
  <c r="BU27" i="25"/>
  <c r="BX27" i="25" s="1"/>
  <c r="BU26" i="25"/>
  <c r="BX26" i="25" s="1"/>
  <c r="BX19" i="24"/>
  <c r="BZ19" i="24" s="1"/>
  <c r="CA19" i="24" s="1"/>
  <c r="BW19" i="24"/>
  <c r="BX72" i="24"/>
  <c r="BZ72" i="24" s="1"/>
  <c r="CA72" i="24" s="1"/>
  <c r="BW72" i="24"/>
  <c r="BX10" i="24"/>
  <c r="BZ10" i="24" s="1"/>
  <c r="CA10" i="24" s="1"/>
  <c r="BW10" i="24"/>
  <c r="BX101" i="24"/>
  <c r="BZ101" i="24" s="1"/>
  <c r="CA101" i="24" s="1"/>
  <c r="BW101" i="24"/>
  <c r="BX55" i="24"/>
  <c r="BZ55" i="24" s="1"/>
  <c r="CA55" i="24" s="1"/>
  <c r="B255" i="2" s="1"/>
  <c r="BW55" i="24"/>
  <c r="BX100" i="24"/>
  <c r="BZ100" i="24" s="1"/>
  <c r="CA100" i="24" s="1"/>
  <c r="BW100" i="24"/>
  <c r="BX56" i="24"/>
  <c r="BZ56" i="24" s="1"/>
  <c r="CA56" i="24" s="1"/>
  <c r="BW56" i="24"/>
  <c r="BX25" i="24"/>
  <c r="BZ25" i="24" s="1"/>
  <c r="CA25" i="24" s="1"/>
  <c r="BW25" i="24"/>
  <c r="BX70" i="24"/>
  <c r="BZ70" i="24" s="1"/>
  <c r="BW70" i="24"/>
  <c r="BX60" i="24"/>
  <c r="BZ60" i="24" s="1"/>
  <c r="BW60" i="24"/>
  <c r="BX63" i="24"/>
  <c r="BW63" i="24"/>
  <c r="BX31" i="24"/>
  <c r="BZ31" i="24" s="1"/>
  <c r="CA31" i="24" s="1"/>
  <c r="BW31" i="24"/>
  <c r="BX28" i="24"/>
  <c r="BZ28" i="24" s="1"/>
  <c r="CA28" i="24" s="1"/>
  <c r="BW28" i="24"/>
  <c r="BX18" i="24"/>
  <c r="BZ18" i="24" s="1"/>
  <c r="CA18" i="24" s="1"/>
  <c r="BW18" i="24"/>
  <c r="BU48" i="25"/>
  <c r="BX48" i="25" s="1"/>
  <c r="BU66" i="25"/>
  <c r="BX66" i="25" s="1"/>
  <c r="BX69" i="24"/>
  <c r="BZ69" i="24" s="1"/>
  <c r="CA69" i="24" s="1"/>
  <c r="BW69" i="24"/>
  <c r="BX42" i="24"/>
  <c r="BZ42" i="24" s="1"/>
  <c r="CA42" i="24" s="1"/>
  <c r="BW42" i="24"/>
  <c r="BX83" i="24"/>
  <c r="BZ83" i="24" s="1"/>
  <c r="CA83" i="24" s="1"/>
  <c r="BW83" i="24"/>
  <c r="BX46" i="24"/>
  <c r="BZ46" i="24" s="1"/>
  <c r="CA46" i="24" s="1"/>
  <c r="BW46" i="24"/>
  <c r="BX50" i="24"/>
  <c r="BZ50" i="24" s="1"/>
  <c r="BW50" i="24"/>
  <c r="BU87" i="25"/>
  <c r="BX87" i="25" s="1"/>
  <c r="BU56" i="25"/>
  <c r="BX56" i="25" s="1"/>
  <c r="BU85" i="25"/>
  <c r="BX85" i="25" s="1"/>
  <c r="BU39" i="25"/>
  <c r="BX39" i="25" s="1"/>
  <c r="BU88" i="25"/>
  <c r="BX88" i="25" s="1"/>
  <c r="BU93" i="25"/>
  <c r="BX93" i="25" s="1"/>
  <c r="BU14" i="25"/>
  <c r="BX14" i="25" s="1"/>
  <c r="BU77" i="25"/>
  <c r="BX77" i="25" s="1"/>
  <c r="BU25" i="25"/>
  <c r="BX25" i="25" s="1"/>
  <c r="BU69" i="25"/>
  <c r="BX69" i="25" s="1"/>
  <c r="BU97" i="25"/>
  <c r="BX97" i="25" s="1"/>
  <c r="BU13" i="25"/>
  <c r="BX13" i="25" s="1"/>
  <c r="BU81" i="25"/>
  <c r="BX81" i="25" s="1"/>
  <c r="BU89" i="25"/>
  <c r="BX89" i="25" s="1"/>
  <c r="BU8" i="25"/>
  <c r="BX8" i="25" s="1"/>
  <c r="BU24" i="25"/>
  <c r="BX24" i="25" s="1"/>
  <c r="BU104" i="25"/>
  <c r="BX104" i="25" s="1"/>
  <c r="BU67" i="25"/>
  <c r="BX67" i="25" s="1"/>
  <c r="BU94" i="25"/>
  <c r="BX94" i="25" s="1"/>
  <c r="BU36" i="25"/>
  <c r="BX36" i="25" s="1"/>
  <c r="BU45" i="25"/>
  <c r="BX45" i="25" s="1"/>
  <c r="BU84" i="25"/>
  <c r="BX84" i="25" s="1"/>
  <c r="BU95" i="25"/>
  <c r="BX95" i="25" s="1"/>
  <c r="BU31" i="25"/>
  <c r="BX31" i="25" s="1"/>
  <c r="BU29" i="25"/>
  <c r="BX29" i="25" s="1"/>
  <c r="BU79" i="25"/>
  <c r="BX79" i="25" s="1"/>
  <c r="BU72" i="25"/>
  <c r="BX72" i="25" s="1"/>
  <c r="BU47" i="25"/>
  <c r="BX47" i="25" s="1"/>
  <c r="BX5" i="24"/>
  <c r="BZ5" i="24" s="1"/>
  <c r="CA5" i="24" s="1"/>
  <c r="BX53" i="24"/>
  <c r="BZ53" i="24" s="1"/>
  <c r="CA53" i="24" s="1"/>
  <c r="BX32" i="24"/>
  <c r="BZ32" i="24" s="1"/>
  <c r="CA32" i="24" s="1"/>
  <c r="BR22" i="24"/>
  <c r="BU22" i="24" s="1"/>
  <c r="BW22" i="24" s="1"/>
  <c r="BZ63" i="24"/>
  <c r="CE63" i="24" s="1"/>
  <c r="BU82" i="24"/>
  <c r="BW82" i="24" s="1"/>
  <c r="BU87" i="24"/>
  <c r="BW87" i="24" s="1"/>
  <c r="BU96" i="24"/>
  <c r="BW96" i="24" s="1"/>
  <c r="BU91" i="24"/>
  <c r="BW91" i="24" s="1"/>
  <c r="BU79" i="24"/>
  <c r="BW79" i="24" s="1"/>
  <c r="BU104" i="24"/>
  <c r="BW104" i="24" s="1"/>
  <c r="BU105" i="24"/>
  <c r="BW105" i="24" s="1"/>
  <c r="BU68" i="24"/>
  <c r="BW68" i="24" s="1"/>
  <c r="BU85" i="24"/>
  <c r="BW85" i="24" s="1"/>
  <c r="BU14" i="24"/>
  <c r="BW14" i="24" s="1"/>
  <c r="BU78" i="24"/>
  <c r="BW78" i="24" s="1"/>
  <c r="BU92" i="24"/>
  <c r="BW92" i="24" s="1"/>
  <c r="BU59" i="24"/>
  <c r="BW59" i="24" s="1"/>
  <c r="BU54" i="24"/>
  <c r="BW54" i="24" s="1"/>
  <c r="BU81" i="24"/>
  <c r="BU51" i="24"/>
  <c r="BU73" i="24"/>
  <c r="BU21" i="24"/>
  <c r="BW21" i="24" s="1"/>
  <c r="BU95" i="24"/>
  <c r="BW95" i="24" s="1"/>
  <c r="BU34" i="24"/>
  <c r="BW34" i="24" s="1"/>
  <c r="BU43" i="24"/>
  <c r="BU89" i="24"/>
  <c r="BW89" i="24" s="1"/>
  <c r="BU74" i="24"/>
  <c r="BW74" i="24" s="1"/>
  <c r="BU36" i="24"/>
  <c r="BW36" i="24" s="1"/>
  <c r="BU29" i="24"/>
  <c r="BU41" i="24"/>
  <c r="BW41" i="24" s="1"/>
  <c r="BU40" i="24"/>
  <c r="BU35" i="24"/>
  <c r="BW166" i="24"/>
  <c r="BR165" i="24"/>
  <c r="BW165" i="24" s="1"/>
  <c r="BG167" i="24"/>
  <c r="BM167" i="24" s="1"/>
  <c r="BK171" i="25"/>
  <c r="BX171" i="25"/>
  <c r="BZ171" i="25" s="1"/>
  <c r="BK154" i="25"/>
  <c r="BX154" i="25"/>
  <c r="BZ154" i="25" s="1"/>
  <c r="BX147" i="25"/>
  <c r="BZ147" i="25" s="1"/>
  <c r="BK147" i="25"/>
  <c r="BX139" i="25"/>
  <c r="BZ139" i="25" s="1"/>
  <c r="CA139" i="25" s="1"/>
  <c r="BK139" i="25"/>
  <c r="BX115" i="25"/>
  <c r="BZ115" i="25" s="1"/>
  <c r="CA115" i="25" s="1"/>
  <c r="BK115" i="25"/>
  <c r="BX200" i="25"/>
  <c r="BZ200" i="25" s="1"/>
  <c r="BK200" i="25"/>
  <c r="BX134" i="25"/>
  <c r="BZ134" i="25" s="1"/>
  <c r="CA134" i="25" s="1"/>
  <c r="BK134" i="25"/>
  <c r="BK126" i="25"/>
  <c r="BX126" i="25"/>
  <c r="BZ126" i="25" s="1"/>
  <c r="CA126" i="25" s="1"/>
  <c r="BK132" i="25"/>
  <c r="BX132" i="25"/>
  <c r="BZ132" i="25" s="1"/>
  <c r="BK156" i="25"/>
  <c r="BX156" i="25"/>
  <c r="BZ156" i="25" s="1"/>
  <c r="CA156" i="25" s="1"/>
  <c r="BX128" i="25"/>
  <c r="BZ128" i="25" s="1"/>
  <c r="CA128" i="25" s="1"/>
  <c r="BK128" i="25"/>
  <c r="BK173" i="25"/>
  <c r="BX173" i="25"/>
  <c r="BZ173" i="25" s="1"/>
  <c r="BK127" i="25"/>
  <c r="BX127" i="25"/>
  <c r="BZ127" i="25" s="1"/>
  <c r="CA127" i="25" s="1"/>
  <c r="BK186" i="25"/>
  <c r="BX186" i="25"/>
  <c r="BZ186" i="25" s="1"/>
  <c r="BK166" i="25"/>
  <c r="BX166" i="25"/>
  <c r="BZ166" i="25" s="1"/>
  <c r="BK184" i="25"/>
  <c r="BX184" i="25"/>
  <c r="BZ184" i="25" s="1"/>
  <c r="BK157" i="25"/>
  <c r="BX157" i="25"/>
  <c r="BZ157" i="25" s="1"/>
  <c r="BX124" i="25"/>
  <c r="BZ124" i="25" s="1"/>
  <c r="CA124" i="25" s="1"/>
  <c r="BK124" i="25"/>
  <c r="BX176" i="25"/>
  <c r="BZ176" i="25" s="1"/>
  <c r="BK176" i="25"/>
  <c r="BK172" i="25"/>
  <c r="BX172" i="25"/>
  <c r="BZ172" i="25" s="1"/>
  <c r="BK203" i="25"/>
  <c r="BX203" i="25"/>
  <c r="BZ203" i="25" s="1"/>
  <c r="BK113" i="25"/>
  <c r="BX113" i="25"/>
  <c r="BZ113" i="25" s="1"/>
  <c r="CA113" i="25" s="1"/>
  <c r="BX131" i="25"/>
  <c r="BZ131" i="25" s="1"/>
  <c r="CA131" i="25" s="1"/>
  <c r="BK131" i="25"/>
  <c r="BK178" i="25"/>
  <c r="BX178" i="25"/>
  <c r="BZ178" i="25" s="1"/>
  <c r="BK121" i="25"/>
  <c r="BX121" i="25"/>
  <c r="BZ121" i="25" s="1"/>
  <c r="BQ110" i="25"/>
  <c r="BW110" i="25" s="1"/>
  <c r="BE110" i="25"/>
  <c r="BK129" i="25"/>
  <c r="BX129" i="25"/>
  <c r="BZ129" i="25" s="1"/>
  <c r="BK183" i="25"/>
  <c r="BX183" i="25"/>
  <c r="BZ183" i="25" s="1"/>
  <c r="BX161" i="25"/>
  <c r="BZ161" i="25" s="1"/>
  <c r="BK161" i="25"/>
  <c r="BX133" i="25"/>
  <c r="BZ133" i="25" s="1"/>
  <c r="BK133" i="25"/>
  <c r="BX193" i="25"/>
  <c r="BZ193" i="25" s="1"/>
  <c r="BK193" i="25"/>
  <c r="BK138" i="25"/>
  <c r="BX138" i="25"/>
  <c r="BZ138" i="25" s="1"/>
  <c r="CA138" i="25" s="1"/>
  <c r="BX144" i="25"/>
  <c r="BZ144" i="25" s="1"/>
  <c r="BK144" i="25"/>
  <c r="BX125" i="25"/>
  <c r="BZ125" i="25" s="1"/>
  <c r="CA125" i="25" s="1"/>
  <c r="BK125" i="25"/>
  <c r="BK164" i="25"/>
  <c r="BX164" i="25"/>
  <c r="BZ164" i="25" s="1"/>
  <c r="BX197" i="25"/>
  <c r="BZ197" i="25" s="1"/>
  <c r="BK197" i="25"/>
  <c r="BX112" i="25"/>
  <c r="BZ112" i="25" s="1"/>
  <c r="CA112" i="25" s="1"/>
  <c r="BK112" i="25"/>
  <c r="BK119" i="25"/>
  <c r="BX119" i="25"/>
  <c r="BZ119" i="25" s="1"/>
  <c r="CA119" i="25" s="1"/>
  <c r="BK206" i="25"/>
  <c r="BX206" i="25"/>
  <c r="BZ206" i="25" s="1"/>
  <c r="BX114" i="25"/>
  <c r="BZ114" i="25" s="1"/>
  <c r="CA114" i="25" s="1"/>
  <c r="BK114" i="25"/>
  <c r="BK137" i="25"/>
  <c r="BX137" i="25"/>
  <c r="BZ137" i="25" s="1"/>
  <c r="CA137" i="25" s="1"/>
  <c r="BX136" i="25"/>
  <c r="BZ136" i="25" s="1"/>
  <c r="BK136" i="25"/>
  <c r="BK165" i="25"/>
  <c r="BX165" i="25"/>
  <c r="BZ165" i="25" s="1"/>
  <c r="BK185" i="25"/>
  <c r="BX185" i="25"/>
  <c r="BZ185" i="25" s="1"/>
  <c r="BX141" i="25"/>
  <c r="BZ141" i="25" s="1"/>
  <c r="CA141" i="25" s="1"/>
  <c r="BK141" i="25"/>
  <c r="BK201" i="25"/>
  <c r="BX201" i="25"/>
  <c r="BZ201" i="25" s="1"/>
  <c r="BX174" i="25"/>
  <c r="BZ174" i="25" s="1"/>
  <c r="BK174" i="25"/>
  <c r="BX140" i="25"/>
  <c r="BZ140" i="25" s="1"/>
  <c r="CA140" i="25" s="1"/>
  <c r="BK140" i="25"/>
  <c r="BX120" i="25"/>
  <c r="BZ120" i="25" s="1"/>
  <c r="CA120" i="25" s="1"/>
  <c r="BK120" i="25"/>
  <c r="BK148" i="25"/>
  <c r="BX148" i="25"/>
  <c r="BZ148" i="25" s="1"/>
  <c r="BX192" i="25"/>
  <c r="BZ192" i="25" s="1"/>
  <c r="BK192" i="25"/>
  <c r="BK117" i="25"/>
  <c r="BX117" i="25"/>
  <c r="BZ117" i="25" s="1"/>
  <c r="CA117" i="25" s="1"/>
  <c r="BX181" i="25"/>
  <c r="BZ181" i="25" s="1"/>
  <c r="CA181" i="25" s="1"/>
  <c r="BK181" i="25"/>
  <c r="BX116" i="25"/>
  <c r="BZ116" i="25" s="1"/>
  <c r="CA116" i="25" s="1"/>
  <c r="BK116" i="25"/>
  <c r="BK123" i="25"/>
  <c r="BX123" i="25"/>
  <c r="BZ123" i="25" s="1"/>
  <c r="CA123" i="25" s="1"/>
  <c r="BX170" i="25"/>
  <c r="BZ170" i="25" s="1"/>
  <c r="BK170" i="25"/>
  <c r="BX122" i="25"/>
  <c r="BZ122" i="25" s="1"/>
  <c r="CA122" i="25" s="1"/>
  <c r="BK122" i="25"/>
  <c r="BX210" i="25"/>
  <c r="BZ210" i="25" s="1"/>
  <c r="CA210" i="25" s="1"/>
  <c r="BK210" i="25"/>
  <c r="BK158" i="25"/>
  <c r="BX158" i="25"/>
  <c r="BZ158" i="25" s="1"/>
  <c r="BK163" i="25"/>
  <c r="BX163" i="25"/>
  <c r="BZ163" i="25" s="1"/>
  <c r="BK111" i="25"/>
  <c r="BX111" i="25"/>
  <c r="BZ111" i="25" s="1"/>
  <c r="CA111" i="25" s="1"/>
  <c r="BK159" i="25"/>
  <c r="BX159" i="25"/>
  <c r="BZ159" i="25" s="1"/>
  <c r="BX160" i="25"/>
  <c r="BZ160" i="25" s="1"/>
  <c r="CA160" i="25" s="1"/>
  <c r="BK168" i="25"/>
  <c r="BX168" i="25"/>
  <c r="BZ168" i="25" s="1"/>
  <c r="BK191" i="25"/>
  <c r="BX191" i="25"/>
  <c r="BZ191" i="25" s="1"/>
  <c r="BK142" i="25"/>
  <c r="BX142" i="25"/>
  <c r="BZ142" i="25" s="1"/>
  <c r="BK145" i="25"/>
  <c r="BX145" i="25"/>
  <c r="BZ145" i="25" s="1"/>
  <c r="BX180" i="25"/>
  <c r="BZ180" i="25" s="1"/>
  <c r="BK180" i="25"/>
  <c r="BX204" i="25"/>
  <c r="BZ204" i="25" s="1"/>
  <c r="CA204" i="25" s="1"/>
  <c r="BK204" i="25"/>
  <c r="BX188" i="25"/>
  <c r="BZ188" i="25" s="1"/>
  <c r="BK188" i="25"/>
  <c r="BK155" i="25"/>
  <c r="BX155" i="25"/>
  <c r="BZ155" i="25" s="1"/>
  <c r="CA155" i="25" s="1"/>
  <c r="BX187" i="25"/>
  <c r="BZ187" i="25" s="1"/>
  <c r="BK187" i="25"/>
  <c r="BX167" i="25"/>
  <c r="BZ167" i="25" s="1"/>
  <c r="BK167" i="25"/>
  <c r="BK169" i="25"/>
  <c r="BX169" i="25"/>
  <c r="BZ169" i="25" s="1"/>
  <c r="CA169" i="25" s="1"/>
  <c r="BK150" i="25"/>
  <c r="BX150" i="25"/>
  <c r="BZ150" i="25" s="1"/>
  <c r="BK146" i="25"/>
  <c r="BX146" i="25"/>
  <c r="BZ146" i="25" s="1"/>
  <c r="BK179" i="25"/>
  <c r="BX179" i="25"/>
  <c r="BZ179" i="25" s="1"/>
  <c r="BX151" i="25"/>
  <c r="BZ151" i="25" s="1"/>
  <c r="BK151" i="25"/>
  <c r="BX153" i="25"/>
  <c r="BZ153" i="25" s="1"/>
  <c r="CA153" i="25" s="1"/>
  <c r="BK153" i="25"/>
  <c r="BX149" i="25"/>
  <c r="BZ149" i="25" s="1"/>
  <c r="BK149" i="25"/>
  <c r="BK199" i="25"/>
  <c r="BX199" i="25"/>
  <c r="BZ199" i="25" s="1"/>
  <c r="BX196" i="25"/>
  <c r="BZ196" i="25" s="1"/>
  <c r="CA196" i="25" s="1"/>
  <c r="BK196" i="25"/>
  <c r="BX205" i="25"/>
  <c r="BZ205" i="25" s="1"/>
  <c r="CA205" i="25" s="1"/>
  <c r="BK205" i="25"/>
  <c r="BK195" i="25"/>
  <c r="BX195" i="25"/>
  <c r="BZ195" i="25" s="1"/>
  <c r="BX190" i="25"/>
  <c r="BZ190" i="25" s="1"/>
  <c r="CA190" i="25" s="1"/>
  <c r="BK190" i="25"/>
  <c r="BX194" i="25"/>
  <c r="BZ194" i="25" s="1"/>
  <c r="BK194" i="25"/>
  <c r="BK135" i="25"/>
  <c r="BX135" i="25"/>
  <c r="BZ135" i="25" s="1"/>
  <c r="BK177" i="25"/>
  <c r="BX177" i="25"/>
  <c r="BZ177" i="25" s="1"/>
  <c r="BX209" i="25"/>
  <c r="BZ209" i="25" s="1"/>
  <c r="CA209" i="25" s="1"/>
  <c r="BK209" i="25"/>
  <c r="BX118" i="25"/>
  <c r="BZ118" i="25" s="1"/>
  <c r="CA118" i="25" s="1"/>
  <c r="BK118" i="25"/>
  <c r="BX182" i="25"/>
  <c r="BZ182" i="25" s="1"/>
  <c r="BK182" i="25"/>
  <c r="BX208" i="25"/>
  <c r="BZ208" i="25" s="1"/>
  <c r="CA208" i="25" s="1"/>
  <c r="BK208" i="25"/>
  <c r="BX130" i="25"/>
  <c r="BZ130" i="25" s="1"/>
  <c r="CA130" i="25" s="1"/>
  <c r="BK130" i="25"/>
  <c r="BK207" i="25"/>
  <c r="BX207" i="25"/>
  <c r="BZ207" i="25" s="1"/>
  <c r="BX162" i="25"/>
  <c r="BZ162" i="25" s="1"/>
  <c r="BK162" i="25"/>
  <c r="BK143" i="25"/>
  <c r="BX143" i="25"/>
  <c r="BZ143" i="25" s="1"/>
  <c r="BX202" i="25"/>
  <c r="BZ202" i="25" s="1"/>
  <c r="BK202" i="25"/>
  <c r="BX198" i="25"/>
  <c r="BZ198" i="25" s="1"/>
  <c r="BK198" i="25"/>
  <c r="BK189" i="25"/>
  <c r="BX189" i="25"/>
  <c r="BZ189" i="25" s="1"/>
  <c r="BK175" i="25"/>
  <c r="BX175" i="25"/>
  <c r="BZ175" i="25" s="1"/>
  <c r="CA175" i="25" s="1"/>
  <c r="BK152" i="25"/>
  <c r="BX152" i="25"/>
  <c r="BZ152" i="25" s="1"/>
  <c r="CA152" i="25" s="1"/>
  <c r="BG115" i="24"/>
  <c r="BM115" i="24" s="1"/>
  <c r="BX122" i="24"/>
  <c r="BZ122" i="24" s="1"/>
  <c r="BM122" i="24"/>
  <c r="BX118" i="24"/>
  <c r="BZ118" i="24" s="1"/>
  <c r="CA118" i="24" s="1"/>
  <c r="BM118" i="24"/>
  <c r="BM111" i="24"/>
  <c r="BX111" i="24"/>
  <c r="BZ111" i="24" s="1"/>
  <c r="CA111" i="24" s="1"/>
  <c r="BX125" i="24"/>
  <c r="BZ125" i="24" s="1"/>
  <c r="CA125" i="24" s="1"/>
  <c r="BM125" i="24"/>
  <c r="BR110" i="24"/>
  <c r="BW110" i="24" s="1"/>
  <c r="BG110" i="24"/>
  <c r="BR192" i="24"/>
  <c r="BW192" i="24" s="1"/>
  <c r="BG192" i="24"/>
  <c r="BX142" i="24"/>
  <c r="BZ142" i="24" s="1"/>
  <c r="CA142" i="24" s="1"/>
  <c r="BM142" i="24"/>
  <c r="BR130" i="24"/>
  <c r="BW130" i="24" s="1"/>
  <c r="BG130" i="24"/>
  <c r="BX120" i="24"/>
  <c r="BZ120" i="24" s="1"/>
  <c r="CA120" i="24" s="1"/>
  <c r="BM120" i="24"/>
  <c r="BX154" i="24"/>
  <c r="BZ154" i="24" s="1"/>
  <c r="BM154" i="24"/>
  <c r="BX204" i="24"/>
  <c r="BZ204" i="24" s="1"/>
  <c r="BM204" i="24"/>
  <c r="BX162" i="24"/>
  <c r="BZ162" i="24" s="1"/>
  <c r="CA162" i="24" s="1"/>
  <c r="BM162" i="24"/>
  <c r="BX121" i="24"/>
  <c r="BZ121" i="24" s="1"/>
  <c r="CA121" i="24" s="1"/>
  <c r="BM121" i="24"/>
  <c r="BX173" i="24"/>
  <c r="BZ173" i="24" s="1"/>
  <c r="CA173" i="24" s="1"/>
  <c r="BM173" i="24"/>
  <c r="BG208" i="24"/>
  <c r="BR208" i="24"/>
  <c r="BW208" i="24" s="1"/>
  <c r="BR210" i="24"/>
  <c r="BW210" i="24" s="1"/>
  <c r="BG210" i="24"/>
  <c r="BX133" i="24"/>
  <c r="BZ133" i="24" s="1"/>
  <c r="CA133" i="24" s="1"/>
  <c r="BM133" i="24"/>
  <c r="BX184" i="24"/>
  <c r="BZ184" i="24" s="1"/>
  <c r="CA184" i="24" s="1"/>
  <c r="BM184" i="24"/>
  <c r="BX138" i="24"/>
  <c r="BZ138" i="24" s="1"/>
  <c r="CA138" i="24" s="1"/>
  <c r="BM138" i="24"/>
  <c r="BR206" i="24"/>
  <c r="BW206" i="24" s="1"/>
  <c r="BG206" i="24"/>
  <c r="BR123" i="24"/>
  <c r="BW123" i="24" s="1"/>
  <c r="BG123" i="24"/>
  <c r="BX200" i="24"/>
  <c r="BZ200" i="24" s="1"/>
  <c r="CA200" i="24" s="1"/>
  <c r="BM200" i="24"/>
  <c r="BR161" i="24"/>
  <c r="BW161" i="24" s="1"/>
  <c r="BG161" i="24"/>
  <c r="BX178" i="24"/>
  <c r="BZ178" i="24" s="1"/>
  <c r="CA178" i="24" s="1"/>
  <c r="BM178" i="24"/>
  <c r="BX201" i="24"/>
  <c r="BZ201" i="24" s="1"/>
  <c r="CA201" i="24" s="1"/>
  <c r="BM201" i="24"/>
  <c r="BR176" i="24"/>
  <c r="BW176" i="24" s="1"/>
  <c r="BG176" i="24"/>
  <c r="BX185" i="24"/>
  <c r="BZ185" i="24" s="1"/>
  <c r="BW185" i="24"/>
  <c r="BX170" i="24"/>
  <c r="BZ170" i="24" s="1"/>
  <c r="CA170" i="24" s="1"/>
  <c r="BM170" i="24"/>
  <c r="BR159" i="24"/>
  <c r="BW159" i="24" s="1"/>
  <c r="BG159" i="24"/>
  <c r="BR181" i="24"/>
  <c r="BG181" i="24"/>
  <c r="BM181" i="24" s="1"/>
  <c r="BR136" i="24"/>
  <c r="BW136" i="24" s="1"/>
  <c r="BG136" i="24"/>
  <c r="BX116" i="24"/>
  <c r="BZ116" i="24" s="1"/>
  <c r="CA116" i="24" s="1"/>
  <c r="BM116" i="24"/>
  <c r="BX158" i="24"/>
  <c r="BZ158" i="24" s="1"/>
  <c r="BM158" i="24"/>
  <c r="BM131" i="24"/>
  <c r="BX131" i="24"/>
  <c r="BZ131" i="24" s="1"/>
  <c r="CA131" i="24" s="1"/>
  <c r="BX128" i="24"/>
  <c r="BZ128" i="24" s="1"/>
  <c r="CA128" i="24" s="1"/>
  <c r="BM128" i="24"/>
  <c r="BM147" i="24"/>
  <c r="BX147" i="24"/>
  <c r="BZ147" i="24" s="1"/>
  <c r="BM127" i="24"/>
  <c r="BX127" i="24"/>
  <c r="BZ127" i="24" s="1"/>
  <c r="CA127" i="24" s="1"/>
  <c r="BR199" i="24"/>
  <c r="BW199" i="24" s="1"/>
  <c r="BG199" i="24"/>
  <c r="BR194" i="24"/>
  <c r="BW194" i="24" s="1"/>
  <c r="BG194" i="24"/>
  <c r="BM139" i="24"/>
  <c r="BX139" i="24"/>
  <c r="BZ139" i="24" s="1"/>
  <c r="BM207" i="24"/>
  <c r="BX207" i="24"/>
  <c r="BZ207" i="24" s="1"/>
  <c r="BM143" i="24"/>
  <c r="BX143" i="24"/>
  <c r="BZ143" i="24" s="1"/>
  <c r="BX180" i="24"/>
  <c r="BZ180" i="24" s="1"/>
  <c r="CA180" i="24" s="1"/>
  <c r="BM180" i="24"/>
  <c r="BX137" i="24"/>
  <c r="BZ137" i="24" s="1"/>
  <c r="CA137" i="24" s="1"/>
  <c r="BM137" i="24"/>
  <c r="BX202" i="24"/>
  <c r="BZ202" i="24" s="1"/>
  <c r="CA202" i="24" s="1"/>
  <c r="BM202" i="24"/>
  <c r="BX198" i="24"/>
  <c r="BZ198" i="24" s="1"/>
  <c r="CA198" i="24" s="1"/>
  <c r="BM198" i="24"/>
  <c r="BR114" i="24"/>
  <c r="BW114" i="24" s="1"/>
  <c r="BG114" i="24"/>
  <c r="BR155" i="24"/>
  <c r="BW155" i="24" s="1"/>
  <c r="BG155" i="24"/>
  <c r="BX146" i="24"/>
  <c r="BZ146" i="24" s="1"/>
  <c r="BM146" i="24"/>
  <c r="BR189" i="24"/>
  <c r="BG189" i="24"/>
  <c r="BM189" i="24" s="1"/>
  <c r="BX145" i="24"/>
  <c r="BZ145" i="24" s="1"/>
  <c r="CA145" i="24" s="1"/>
  <c r="BM145" i="24"/>
  <c r="BM175" i="24"/>
  <c r="BX175" i="24"/>
  <c r="BZ175" i="24" s="1"/>
  <c r="BX124" i="24"/>
  <c r="BZ124" i="24" s="1"/>
  <c r="CA124" i="24" s="1"/>
  <c r="BM124" i="24"/>
  <c r="BX132" i="24"/>
  <c r="BZ132" i="24" s="1"/>
  <c r="CA132" i="24" s="1"/>
  <c r="BM132" i="24"/>
  <c r="BM179" i="24"/>
  <c r="BX179" i="24"/>
  <c r="BZ179" i="24" s="1"/>
  <c r="BX166" i="24"/>
  <c r="BZ166" i="24" s="1"/>
  <c r="CA166" i="24" s="1"/>
  <c r="BM166" i="24"/>
  <c r="BX177" i="24"/>
  <c r="BZ177" i="24" s="1"/>
  <c r="CA177" i="24" s="1"/>
  <c r="BM177" i="24"/>
  <c r="BM171" i="24"/>
  <c r="BX171" i="24"/>
  <c r="BZ171" i="24" s="1"/>
  <c r="CA171" i="24" s="1"/>
  <c r="BX197" i="24"/>
  <c r="BZ197" i="24" s="1"/>
  <c r="BM197" i="24"/>
  <c r="BX113" i="24"/>
  <c r="BZ113" i="24" s="1"/>
  <c r="CA113" i="24" s="1"/>
  <c r="BM113" i="24"/>
  <c r="BX140" i="24"/>
  <c r="BZ140" i="24" s="1"/>
  <c r="CA140" i="24" s="1"/>
  <c r="BM140" i="24"/>
  <c r="BX150" i="24"/>
  <c r="BZ150" i="24" s="1"/>
  <c r="BM150" i="24"/>
  <c r="BR182" i="24"/>
  <c r="BG182" i="24"/>
  <c r="BM182" i="24" s="1"/>
  <c r="BR195" i="24"/>
  <c r="BW195" i="24" s="1"/>
  <c r="BG195" i="24"/>
  <c r="BR169" i="24"/>
  <c r="BW169" i="24" s="1"/>
  <c r="BG169" i="24"/>
  <c r="BM165" i="24"/>
  <c r="BM135" i="24"/>
  <c r="BX135" i="24"/>
  <c r="BZ135" i="24" s="1"/>
  <c r="BX164" i="24"/>
  <c r="BZ164" i="24" s="1"/>
  <c r="CA164" i="24" s="1"/>
  <c r="BM164" i="24"/>
  <c r="BX129" i="24"/>
  <c r="BZ129" i="24" s="1"/>
  <c r="CA129" i="24" s="1"/>
  <c r="BM129" i="24"/>
  <c r="BX126" i="24"/>
  <c r="BZ126" i="24" s="1"/>
  <c r="CA126" i="24" s="1"/>
  <c r="BM126" i="24"/>
  <c r="BX157" i="24"/>
  <c r="BZ157" i="24" s="1"/>
  <c r="BM157" i="24"/>
  <c r="BR156" i="24"/>
  <c r="BW156" i="24" s="1"/>
  <c r="BG156" i="24"/>
  <c r="BR149" i="24"/>
  <c r="BW149" i="24" s="1"/>
  <c r="BG149" i="24"/>
  <c r="BR172" i="24"/>
  <c r="BW172" i="24" s="1"/>
  <c r="BG172" i="24"/>
  <c r="BR193" i="24"/>
  <c r="BW193" i="24" s="1"/>
  <c r="BG193" i="24"/>
  <c r="BX117" i="24"/>
  <c r="BZ117" i="24" s="1"/>
  <c r="CA117" i="24" s="1"/>
  <c r="BM117" i="24"/>
  <c r="BX160" i="24"/>
  <c r="BZ160" i="24" s="1"/>
  <c r="BM160" i="24"/>
  <c r="BR168" i="24"/>
  <c r="BW168" i="24" s="1"/>
  <c r="BG168" i="24"/>
  <c r="BM183" i="24"/>
  <c r="BX183" i="24"/>
  <c r="BZ183" i="24" s="1"/>
  <c r="BX148" i="24"/>
  <c r="BZ148" i="24" s="1"/>
  <c r="CA148" i="24" s="1"/>
  <c r="BM148" i="24"/>
  <c r="BX153" i="24"/>
  <c r="BZ153" i="24" s="1"/>
  <c r="CA153" i="24" s="1"/>
  <c r="BM153" i="24"/>
  <c r="BX186" i="24"/>
  <c r="BZ186" i="24" s="1"/>
  <c r="CA186" i="24" s="1"/>
  <c r="BW186" i="24"/>
  <c r="BR188" i="24"/>
  <c r="BW188" i="24" s="1"/>
  <c r="BG188" i="24"/>
  <c r="BR112" i="24"/>
  <c r="BW112" i="24" s="1"/>
  <c r="BG112" i="24"/>
  <c r="BR141" i="24"/>
  <c r="BW141" i="24" s="1"/>
  <c r="BG141" i="24"/>
  <c r="BX190" i="24"/>
  <c r="BZ190" i="24" s="1"/>
  <c r="BW190" i="24"/>
  <c r="BX174" i="24"/>
  <c r="BZ174" i="24" s="1"/>
  <c r="CA174" i="24" s="1"/>
  <c r="BM174" i="24"/>
  <c r="BX196" i="24"/>
  <c r="BZ196" i="24" s="1"/>
  <c r="CA196" i="24" s="1"/>
  <c r="BM196" i="24"/>
  <c r="BG209" i="24"/>
  <c r="BR209" i="24"/>
  <c r="BW209" i="24" s="1"/>
  <c r="BR134" i="24"/>
  <c r="BW134" i="24" s="1"/>
  <c r="BG134" i="24"/>
  <c r="BX205" i="24"/>
  <c r="BZ205" i="24" s="1"/>
  <c r="BM205" i="24"/>
  <c r="BR191" i="24"/>
  <c r="BW191" i="24" s="1"/>
  <c r="BG191" i="24"/>
  <c r="BR119" i="24"/>
  <c r="BW119" i="24" s="1"/>
  <c r="BG119" i="24"/>
  <c r="BM151" i="24"/>
  <c r="BX151" i="24"/>
  <c r="BZ151" i="24" s="1"/>
  <c r="BM163" i="24"/>
  <c r="BX163" i="24"/>
  <c r="BZ163" i="24" s="1"/>
  <c r="CA163" i="24" s="1"/>
  <c r="BM187" i="24"/>
  <c r="BX187" i="24"/>
  <c r="BZ187" i="24" s="1"/>
  <c r="CA187" i="24" s="1"/>
  <c r="BX152" i="24"/>
  <c r="BZ152" i="24" s="1"/>
  <c r="BM152" i="24"/>
  <c r="BX144" i="24"/>
  <c r="BZ144" i="24" s="1"/>
  <c r="CA144" i="24" s="1"/>
  <c r="BM144" i="24"/>
  <c r="BR203" i="24"/>
  <c r="BW203" i="24" s="1"/>
  <c r="BG203" i="24"/>
  <c r="BR86" i="24"/>
  <c r="BG73" i="24"/>
  <c r="BL73" i="24" s="1"/>
  <c r="BM73" i="24" s="1"/>
  <c r="BR33" i="24"/>
  <c r="BG51" i="24"/>
  <c r="BL51" i="24" s="1"/>
  <c r="BM51" i="24" s="1"/>
  <c r="BR97" i="24"/>
  <c r="BG43" i="24"/>
  <c r="BL43" i="24" s="1"/>
  <c r="BM43" i="24" s="1"/>
  <c r="BR64" i="24"/>
  <c r="BR27" i="24"/>
  <c r="BR23" i="24"/>
  <c r="BR49" i="24"/>
  <c r="BR88" i="24"/>
  <c r="BG81" i="24"/>
  <c r="BL81" i="24" s="1"/>
  <c r="BM81" i="24" s="1"/>
  <c r="BR65" i="24"/>
  <c r="BG35" i="24"/>
  <c r="BL35" i="24" s="1"/>
  <c r="BM35" i="24" s="1"/>
  <c r="AY71" i="24"/>
  <c r="AZ71" i="24" s="1"/>
  <c r="BD71" i="24"/>
  <c r="BE71" i="24"/>
  <c r="BS71" i="24" s="1"/>
  <c r="AY13" i="24"/>
  <c r="AZ13" i="24" s="1"/>
  <c r="BD13" i="24"/>
  <c r="BE13" i="24"/>
  <c r="BS13" i="24" s="1"/>
  <c r="AY15" i="24"/>
  <c r="AZ15" i="24" s="1"/>
  <c r="BE15" i="24"/>
  <c r="BS15" i="24" s="1"/>
  <c r="BD15" i="24"/>
  <c r="AY48" i="24"/>
  <c r="AZ48" i="24" s="1"/>
  <c r="BD48" i="24"/>
  <c r="BE48" i="24"/>
  <c r="BS48" i="24" s="1"/>
  <c r="AY102" i="24"/>
  <c r="AZ102" i="24" s="1"/>
  <c r="BD102" i="24"/>
  <c r="BE102" i="24"/>
  <c r="BS102" i="24" s="1"/>
  <c r="AY93" i="24"/>
  <c r="AZ93" i="24" s="1"/>
  <c r="BE93" i="24"/>
  <c r="BS93" i="24" s="1"/>
  <c r="BD93" i="24"/>
  <c r="AY37" i="24"/>
  <c r="AZ37" i="24" s="1"/>
  <c r="BD37" i="24"/>
  <c r="BE37" i="24"/>
  <c r="BS37" i="24" s="1"/>
  <c r="AY94" i="24"/>
  <c r="AZ94" i="24" s="1"/>
  <c r="BE94" i="24"/>
  <c r="BS94" i="24" s="1"/>
  <c r="BD94" i="24"/>
  <c r="AY8" i="24"/>
  <c r="AZ8" i="24" s="1"/>
  <c r="BD8" i="24"/>
  <c r="BE8" i="24"/>
  <c r="BS8" i="24" s="1"/>
  <c r="AY58" i="24"/>
  <c r="AZ58" i="24" s="1"/>
  <c r="BE58" i="24"/>
  <c r="BS58" i="24" s="1"/>
  <c r="BD58" i="24"/>
  <c r="AY90" i="24"/>
  <c r="AZ90" i="24" s="1"/>
  <c r="BD90" i="24"/>
  <c r="BE90" i="24"/>
  <c r="BS90" i="24" s="1"/>
  <c r="AY99" i="24"/>
  <c r="AZ99" i="24" s="1"/>
  <c r="BD99" i="24"/>
  <c r="BE99" i="24"/>
  <c r="BS99" i="24" s="1"/>
  <c r="AY45" i="24"/>
  <c r="AZ45" i="24" s="1"/>
  <c r="BD45" i="24"/>
  <c r="BE45" i="24"/>
  <c r="BS45" i="24" s="1"/>
  <c r="AY38" i="24"/>
  <c r="AZ38" i="24" s="1"/>
  <c r="BD38" i="24"/>
  <c r="BE38" i="24"/>
  <c r="BS38" i="24" s="1"/>
  <c r="AY77" i="24"/>
  <c r="AZ77" i="24" s="1"/>
  <c r="BE77" i="24"/>
  <c r="BS77" i="24" s="1"/>
  <c r="BD77" i="24"/>
  <c r="AY98" i="24"/>
  <c r="AZ98" i="24" s="1"/>
  <c r="BD98" i="24"/>
  <c r="BE98" i="24"/>
  <c r="BS98" i="24" s="1"/>
  <c r="AY62" i="24"/>
  <c r="AZ62" i="24" s="1"/>
  <c r="BD62" i="24"/>
  <c r="BE62" i="24"/>
  <c r="BS62" i="24" s="1"/>
  <c r="AY47" i="24"/>
  <c r="AZ47" i="24" s="1"/>
  <c r="BE47" i="24"/>
  <c r="BS47" i="24" s="1"/>
  <c r="BD47" i="24"/>
  <c r="AY52" i="24"/>
  <c r="AZ52" i="24" s="1"/>
  <c r="BD52" i="24"/>
  <c r="BE52" i="24"/>
  <c r="BS52" i="24" s="1"/>
  <c r="AY75" i="24"/>
  <c r="AZ75" i="24" s="1"/>
  <c r="BE75" i="24"/>
  <c r="BS75" i="24" s="1"/>
  <c r="BD75" i="24"/>
  <c r="AY103" i="24"/>
  <c r="AZ103" i="24" s="1"/>
  <c r="BE103" i="24"/>
  <c r="BS103" i="24" s="1"/>
  <c r="BD103" i="24"/>
  <c r="AY24" i="24"/>
  <c r="AZ24" i="24" s="1"/>
  <c r="BD24" i="24"/>
  <c r="BE24" i="24"/>
  <c r="BS24" i="24" s="1"/>
  <c r="AY44" i="24"/>
  <c r="AZ44" i="24" s="1"/>
  <c r="BE44" i="24"/>
  <c r="BS44" i="24" s="1"/>
  <c r="BD44" i="24"/>
  <c r="AY67" i="24"/>
  <c r="AZ67" i="24" s="1"/>
  <c r="BE67" i="24"/>
  <c r="BS67" i="24" s="1"/>
  <c r="BD67" i="24"/>
  <c r="AY76" i="24"/>
  <c r="AZ76" i="24" s="1"/>
  <c r="BE76" i="24"/>
  <c r="BS76" i="24" s="1"/>
  <c r="BD76" i="24"/>
  <c r="AY57" i="24"/>
  <c r="AZ57" i="24" s="1"/>
  <c r="BE57" i="24"/>
  <c r="BS57" i="24" s="1"/>
  <c r="BD57" i="24"/>
  <c r="AY84" i="24"/>
  <c r="AZ84" i="24" s="1"/>
  <c r="BD84" i="24"/>
  <c r="BE84" i="24"/>
  <c r="BS84" i="24" s="1"/>
  <c r="AY39" i="24"/>
  <c r="AZ39" i="24" s="1"/>
  <c r="BE39" i="24"/>
  <c r="BS39" i="24" s="1"/>
  <c r="BD39" i="24"/>
  <c r="AY61" i="24"/>
  <c r="AZ61" i="24" s="1"/>
  <c r="BE61" i="24"/>
  <c r="BS61" i="24" s="1"/>
  <c r="BD61" i="24"/>
  <c r="AY16" i="24"/>
  <c r="AZ16" i="24" s="1"/>
  <c r="BE16" i="24"/>
  <c r="BS16" i="24" s="1"/>
  <c r="BD16" i="24"/>
  <c r="AY12" i="24"/>
  <c r="AZ12" i="24" s="1"/>
  <c r="BE12" i="24"/>
  <c r="BS12" i="24" s="1"/>
  <c r="BD12" i="24"/>
  <c r="AY11" i="24"/>
  <c r="AZ11" i="24" s="1"/>
  <c r="BE11" i="24"/>
  <c r="BS11" i="24" s="1"/>
  <c r="BD11" i="24"/>
  <c r="AY17" i="24"/>
  <c r="AZ17" i="24" s="1"/>
  <c r="BD17" i="24"/>
  <c r="BE17" i="24"/>
  <c r="BS17" i="24" s="1"/>
  <c r="AY9" i="24"/>
  <c r="AZ9" i="24" s="1"/>
  <c r="BD9" i="24"/>
  <c r="BE9" i="24"/>
  <c r="BS9" i="24" s="1"/>
  <c r="AY26" i="24"/>
  <c r="AZ26" i="24" s="1"/>
  <c r="BD26" i="24"/>
  <c r="BE26" i="24"/>
  <c r="BS26" i="24" s="1"/>
  <c r="AY20" i="24"/>
  <c r="AZ20" i="24" s="1"/>
  <c r="BE20" i="24"/>
  <c r="BS20" i="24" s="1"/>
  <c r="BD20" i="24"/>
  <c r="AY30" i="24"/>
  <c r="AZ30" i="24" s="1"/>
  <c r="BE30" i="24"/>
  <c r="BS30" i="24" s="1"/>
  <c r="BD30" i="24"/>
  <c r="AY66" i="24"/>
  <c r="AZ66" i="24" s="1"/>
  <c r="BE66" i="24"/>
  <c r="BS66" i="24" s="1"/>
  <c r="BD66" i="24"/>
  <c r="AY80" i="24"/>
  <c r="AZ80" i="24" s="1"/>
  <c r="BD80" i="24"/>
  <c r="BE80" i="24"/>
  <c r="BS80" i="24" s="1"/>
  <c r="AY7" i="24"/>
  <c r="AZ7" i="24" s="1"/>
  <c r="BD7" i="24"/>
  <c r="BE7" i="24"/>
  <c r="BS7" i="24" s="1"/>
  <c r="AY6" i="24"/>
  <c r="AZ6" i="24" s="1"/>
  <c r="BE6" i="24"/>
  <c r="BS6" i="24" s="1"/>
  <c r="BD6" i="24"/>
  <c r="BR5" i="25"/>
  <c r="BQ5" i="25"/>
  <c r="BE5" i="25"/>
  <c r="BJ5" i="25" s="1"/>
  <c r="BZ55" i="25"/>
  <c r="CA55" i="25" s="1"/>
  <c r="BZ61" i="25"/>
  <c r="F66" i="19"/>
  <c r="J9" i="8"/>
  <c r="CA207" i="25" l="1"/>
  <c r="CE207" i="25"/>
  <c r="CA185" i="25"/>
  <c r="CE185" i="25"/>
  <c r="CA135" i="24"/>
  <c r="CE135" i="24"/>
  <c r="CA133" i="25"/>
  <c r="CE133" i="25"/>
  <c r="CA201" i="25"/>
  <c r="CE201" i="25"/>
  <c r="BX80" i="25"/>
  <c r="BZ80" i="25" s="1"/>
  <c r="CA80" i="25" s="1"/>
  <c r="BW17" i="25"/>
  <c r="BX21" i="25"/>
  <c r="BZ21" i="25" s="1"/>
  <c r="CA21" i="25" s="1"/>
  <c r="BW30" i="25"/>
  <c r="CA143" i="24"/>
  <c r="CE143" i="24"/>
  <c r="CA132" i="25"/>
  <c r="CE132" i="25"/>
  <c r="CA147" i="24"/>
  <c r="CE147" i="24"/>
  <c r="BW16" i="25"/>
  <c r="BW54" i="25"/>
  <c r="BW64" i="25"/>
  <c r="BW41" i="25"/>
  <c r="BX105" i="25"/>
  <c r="BZ105" i="25" s="1"/>
  <c r="BW96" i="25"/>
  <c r="BX19" i="25"/>
  <c r="BZ19" i="25" s="1"/>
  <c r="CA19" i="25" s="1"/>
  <c r="CA158" i="24"/>
  <c r="CE158" i="24"/>
  <c r="BW74" i="25"/>
  <c r="CA61" i="25"/>
  <c r="CE61" i="25"/>
  <c r="BW15" i="25"/>
  <c r="BW71" i="25"/>
  <c r="BW44" i="25"/>
  <c r="BW91" i="25"/>
  <c r="BX59" i="25"/>
  <c r="BZ59" i="25" s="1"/>
  <c r="CA59" i="25" s="1"/>
  <c r="BW100" i="25"/>
  <c r="BW18" i="25"/>
  <c r="BX35" i="25"/>
  <c r="BZ35" i="25" s="1"/>
  <c r="BW10" i="25"/>
  <c r="BX7" i="25"/>
  <c r="BZ7" i="25" s="1"/>
  <c r="CA7" i="25" s="1"/>
  <c r="BK5" i="25"/>
  <c r="CA197" i="25"/>
  <c r="CE197" i="25"/>
  <c r="BW37" i="25"/>
  <c r="BW46" i="25"/>
  <c r="BW22" i="25"/>
  <c r="BW79" i="25"/>
  <c r="BZ79" i="25"/>
  <c r="CA79" i="25" s="1"/>
  <c r="BW89" i="25"/>
  <c r="BW56" i="25"/>
  <c r="BZ56" i="25"/>
  <c r="CA56" i="25" s="1"/>
  <c r="BW66" i="25"/>
  <c r="BW68" i="25"/>
  <c r="BZ68" i="25"/>
  <c r="CA68" i="25" s="1"/>
  <c r="BW82" i="25"/>
  <c r="BW51" i="25"/>
  <c r="BZ51" i="25"/>
  <c r="CA51" i="25" s="1"/>
  <c r="BW67" i="25"/>
  <c r="BW93" i="25"/>
  <c r="BZ93" i="25"/>
  <c r="CA93" i="25" s="1"/>
  <c r="BW45" i="25"/>
  <c r="BZ45" i="25"/>
  <c r="CA45" i="25" s="1"/>
  <c r="BW81" i="25"/>
  <c r="BZ81" i="25"/>
  <c r="CA81" i="25" s="1"/>
  <c r="BW88" i="25"/>
  <c r="BZ88" i="25"/>
  <c r="CA88" i="25" s="1"/>
  <c r="BW48" i="25"/>
  <c r="BZ48" i="25"/>
  <c r="CA48" i="25" s="1"/>
  <c r="BW53" i="25"/>
  <c r="BZ53" i="25"/>
  <c r="CA53" i="25" s="1"/>
  <c r="BW75" i="25"/>
  <c r="BZ75" i="25"/>
  <c r="CA75" i="25" s="1"/>
  <c r="BW50" i="25"/>
  <c r="BZ50" i="25"/>
  <c r="CA50" i="25" s="1"/>
  <c r="BW47" i="25"/>
  <c r="BW31" i="25"/>
  <c r="BW36" i="25"/>
  <c r="BW24" i="25"/>
  <c r="BW13" i="25"/>
  <c r="BW77" i="25"/>
  <c r="BW39" i="25"/>
  <c r="BW26" i="25"/>
  <c r="BZ26" i="25"/>
  <c r="CA26" i="25" s="1"/>
  <c r="BW9" i="25"/>
  <c r="BZ9" i="25"/>
  <c r="CA9" i="25" s="1"/>
  <c r="BW12" i="25"/>
  <c r="BZ12" i="25"/>
  <c r="CA12" i="25" s="1"/>
  <c r="BW63" i="25"/>
  <c r="BZ63" i="25"/>
  <c r="CA63" i="25" s="1"/>
  <c r="BW84" i="25"/>
  <c r="BW69" i="25"/>
  <c r="BZ69" i="25"/>
  <c r="CA69" i="25" s="1"/>
  <c r="BW101" i="25"/>
  <c r="BW29" i="25"/>
  <c r="BZ29" i="25"/>
  <c r="CA29" i="25" s="1"/>
  <c r="BW104" i="25"/>
  <c r="BZ104" i="25"/>
  <c r="CA104" i="25" s="1"/>
  <c r="BW25" i="25"/>
  <c r="BZ25" i="25"/>
  <c r="CA25" i="25" s="1"/>
  <c r="BW87" i="25"/>
  <c r="BZ87" i="25"/>
  <c r="CA87" i="25" s="1"/>
  <c r="BW57" i="25"/>
  <c r="BZ57" i="25"/>
  <c r="CA57" i="25" s="1"/>
  <c r="BW72" i="25"/>
  <c r="BW95" i="25"/>
  <c r="BW94" i="25"/>
  <c r="BW8" i="25"/>
  <c r="BW97" i="25"/>
  <c r="BW14" i="25"/>
  <c r="BZ14" i="25"/>
  <c r="CA14" i="25" s="1"/>
  <c r="BW85" i="25"/>
  <c r="BW27" i="25"/>
  <c r="BZ27" i="25"/>
  <c r="CA27" i="25" s="1"/>
  <c r="BW70" i="25"/>
  <c r="BZ70" i="25"/>
  <c r="CA70" i="25" s="1"/>
  <c r="BW76" i="25"/>
  <c r="BZ76" i="25"/>
  <c r="CA76" i="25" s="1"/>
  <c r="BW78" i="25"/>
  <c r="BZ78" i="25"/>
  <c r="CA78" i="25" s="1"/>
  <c r="CA202" i="25"/>
  <c r="CE202" i="25"/>
  <c r="BZ84" i="25"/>
  <c r="CA84" i="25" s="1"/>
  <c r="BZ67" i="25"/>
  <c r="CA67" i="25" s="1"/>
  <c r="BZ101" i="25"/>
  <c r="CA101" i="25" s="1"/>
  <c r="BZ82" i="25"/>
  <c r="CA82" i="25" s="1"/>
  <c r="BZ66" i="25"/>
  <c r="CA66" i="25" s="1"/>
  <c r="BZ89" i="25"/>
  <c r="CA89" i="25" s="1"/>
  <c r="BZ72" i="25"/>
  <c r="CA72" i="25" s="1"/>
  <c r="BZ85" i="25"/>
  <c r="CA85" i="25" s="1"/>
  <c r="BZ97" i="25"/>
  <c r="CA97" i="25" s="1"/>
  <c r="BZ94" i="25"/>
  <c r="CA94" i="25" s="1"/>
  <c r="BZ95" i="25"/>
  <c r="CA95" i="25" s="1"/>
  <c r="BX165" i="24"/>
  <c r="BZ165" i="24" s="1"/>
  <c r="CA165" i="24" s="1"/>
  <c r="CE78" i="25"/>
  <c r="BU5" i="25"/>
  <c r="BW5" i="25" s="1"/>
  <c r="CA163" i="25"/>
  <c r="CE163" i="25"/>
  <c r="BX35" i="24"/>
  <c r="BZ35" i="24" s="1"/>
  <c r="BW35" i="24"/>
  <c r="BX51" i="24"/>
  <c r="BZ51" i="24" s="1"/>
  <c r="CA51" i="24" s="1"/>
  <c r="BW51" i="24"/>
  <c r="BX40" i="24"/>
  <c r="BZ40" i="24" s="1"/>
  <c r="CA40" i="24" s="1"/>
  <c r="BW40" i="24"/>
  <c r="BX81" i="24"/>
  <c r="BZ81" i="24" s="1"/>
  <c r="CA81" i="24" s="1"/>
  <c r="BW81" i="24"/>
  <c r="BX29" i="24"/>
  <c r="BZ29" i="24" s="1"/>
  <c r="CA29" i="24" s="1"/>
  <c r="BW29" i="24"/>
  <c r="BX43" i="24"/>
  <c r="BZ43" i="24" s="1"/>
  <c r="CA43" i="24" s="1"/>
  <c r="BW43" i="24"/>
  <c r="BX73" i="24"/>
  <c r="BZ73" i="24" s="1"/>
  <c r="CA73" i="24" s="1"/>
  <c r="BW73" i="24"/>
  <c r="BZ24" i="25"/>
  <c r="CA24" i="25" s="1"/>
  <c r="BZ13" i="25"/>
  <c r="CA13" i="25" s="1"/>
  <c r="BZ36" i="25"/>
  <c r="CA36" i="25" s="1"/>
  <c r="BZ8" i="25"/>
  <c r="CA8" i="25" s="1"/>
  <c r="BZ77" i="25"/>
  <c r="CA77" i="25" s="1"/>
  <c r="BZ39" i="25"/>
  <c r="CA39" i="25" s="1"/>
  <c r="BZ47" i="25"/>
  <c r="CA47" i="25" s="1"/>
  <c r="BZ31" i="25"/>
  <c r="CA31" i="25" s="1"/>
  <c r="BX74" i="24"/>
  <c r="BZ74" i="24" s="1"/>
  <c r="CA74" i="24" s="1"/>
  <c r="BX95" i="24"/>
  <c r="BZ95" i="24" s="1"/>
  <c r="CA95" i="24" s="1"/>
  <c r="BX92" i="24"/>
  <c r="BZ92" i="24" s="1"/>
  <c r="CA92" i="24" s="1"/>
  <c r="BX104" i="24"/>
  <c r="BZ104" i="24" s="1"/>
  <c r="CA104" i="24" s="1"/>
  <c r="BX91" i="24"/>
  <c r="BZ91" i="24" s="1"/>
  <c r="CA91" i="24" s="1"/>
  <c r="BX87" i="24"/>
  <c r="BZ87" i="24" s="1"/>
  <c r="CA87" i="24" s="1"/>
  <c r="BX22" i="24"/>
  <c r="BZ22" i="24" s="1"/>
  <c r="CA22" i="24" s="1"/>
  <c r="BX41" i="24"/>
  <c r="BZ41" i="24" s="1"/>
  <c r="CA41" i="24" s="1"/>
  <c r="BX36" i="24"/>
  <c r="BZ36" i="24" s="1"/>
  <c r="CA36" i="24" s="1"/>
  <c r="BX89" i="24"/>
  <c r="BZ89" i="24" s="1"/>
  <c r="CA89" i="24" s="1"/>
  <c r="BX34" i="24"/>
  <c r="BZ34" i="24" s="1"/>
  <c r="CA34" i="24" s="1"/>
  <c r="BX21" i="24"/>
  <c r="BZ21" i="24" s="1"/>
  <c r="CA21" i="24" s="1"/>
  <c r="BX78" i="24"/>
  <c r="BZ78" i="24" s="1"/>
  <c r="CA78" i="24" s="1"/>
  <c r="BX85" i="24"/>
  <c r="BZ85" i="24" s="1"/>
  <c r="CA85" i="24" s="1"/>
  <c r="BX105" i="24"/>
  <c r="BZ105" i="24" s="1"/>
  <c r="CA105" i="24" s="1"/>
  <c r="BX82" i="24"/>
  <c r="BZ82" i="24" s="1"/>
  <c r="CA82" i="24" s="1"/>
  <c r="BX54" i="24"/>
  <c r="BZ54" i="24" s="1"/>
  <c r="CA54" i="24" s="1"/>
  <c r="BX59" i="24"/>
  <c r="BZ59" i="24" s="1"/>
  <c r="CA59" i="24" s="1"/>
  <c r="BX79" i="24"/>
  <c r="BZ79" i="24" s="1"/>
  <c r="CA79" i="24" s="1"/>
  <c r="BX96" i="24"/>
  <c r="BZ96" i="24" s="1"/>
  <c r="CA96" i="24" s="1"/>
  <c r="BX14" i="24"/>
  <c r="BZ14" i="24" s="1"/>
  <c r="CA14" i="24" s="1"/>
  <c r="BX68" i="24"/>
  <c r="BZ68" i="24" s="1"/>
  <c r="CA68" i="24" s="1"/>
  <c r="CA198" i="25"/>
  <c r="CE198" i="25"/>
  <c r="CA205" i="24"/>
  <c r="CE205" i="24"/>
  <c r="CA189" i="25"/>
  <c r="CE189" i="25"/>
  <c r="CA194" i="25"/>
  <c r="CE194" i="25"/>
  <c r="BU97" i="24"/>
  <c r="BW97" i="24" s="1"/>
  <c r="BU88" i="24"/>
  <c r="BW88" i="24" s="1"/>
  <c r="BU27" i="24"/>
  <c r="BW27" i="24" s="1"/>
  <c r="BU86" i="24"/>
  <c r="BW86" i="24" s="1"/>
  <c r="BU65" i="24"/>
  <c r="BW65" i="24" s="1"/>
  <c r="BU64" i="24"/>
  <c r="BW64" i="24" s="1"/>
  <c r="BU33" i="24"/>
  <c r="BW33" i="24" s="1"/>
  <c r="BU23" i="24"/>
  <c r="BW23" i="24" s="1"/>
  <c r="BU49" i="24"/>
  <c r="BW49" i="24" s="1"/>
  <c r="CA152" i="24"/>
  <c r="CE152" i="24"/>
  <c r="CE94" i="25"/>
  <c r="CA157" i="25"/>
  <c r="CE157" i="25"/>
  <c r="CA147" i="25"/>
  <c r="CE147" i="25"/>
  <c r="CA91" i="25"/>
  <c r="CE91" i="25"/>
  <c r="CA182" i="25"/>
  <c r="CE182" i="25"/>
  <c r="CA168" i="25"/>
  <c r="CE168" i="25"/>
  <c r="CA191" i="25"/>
  <c r="CE191" i="25"/>
  <c r="CA186" i="25"/>
  <c r="CE186" i="25"/>
  <c r="CA162" i="25"/>
  <c r="CE162" i="25"/>
  <c r="CA172" i="25"/>
  <c r="CE172" i="25"/>
  <c r="CA197" i="24"/>
  <c r="CE197" i="24"/>
  <c r="CA154" i="25"/>
  <c r="CE154" i="25"/>
  <c r="CE93" i="25"/>
  <c r="CA193" i="25"/>
  <c r="CE193" i="25"/>
  <c r="CA192" i="25"/>
  <c r="CE192" i="25"/>
  <c r="CA183" i="25"/>
  <c r="CE183" i="25"/>
  <c r="CE84" i="25"/>
  <c r="CA158" i="25"/>
  <c r="CE158" i="25"/>
  <c r="CE56" i="25"/>
  <c r="CE68" i="25"/>
  <c r="CA183" i="24"/>
  <c r="CE183" i="24"/>
  <c r="CA151" i="25"/>
  <c r="CE151" i="25"/>
  <c r="CA200" i="25"/>
  <c r="CE200" i="25"/>
  <c r="CE82" i="25"/>
  <c r="CA199" i="25"/>
  <c r="CE199" i="25"/>
  <c r="CE45" i="25"/>
  <c r="CA146" i="24"/>
  <c r="CE146" i="24"/>
  <c r="CA195" i="25"/>
  <c r="CE195" i="25"/>
  <c r="CA149" i="25"/>
  <c r="CE149" i="25"/>
  <c r="CA136" i="25"/>
  <c r="CE136" i="25"/>
  <c r="CA32" i="25"/>
  <c r="CE32" i="25"/>
  <c r="CA129" i="25"/>
  <c r="CE129" i="25"/>
  <c r="CE25" i="25"/>
  <c r="CE31" i="25"/>
  <c r="CE89" i="24"/>
  <c r="CA52" i="25"/>
  <c r="CE52" i="25"/>
  <c r="CA60" i="25"/>
  <c r="CE60" i="25"/>
  <c r="CA151" i="24"/>
  <c r="CE151" i="24"/>
  <c r="CA60" i="24"/>
  <c r="CE60" i="24"/>
  <c r="CA145" i="25"/>
  <c r="CE145" i="25"/>
  <c r="CA171" i="25"/>
  <c r="CE171" i="25"/>
  <c r="CA175" i="24"/>
  <c r="CE175" i="24"/>
  <c r="CA159" i="25"/>
  <c r="CE159" i="25"/>
  <c r="CE87" i="24"/>
  <c r="CA157" i="24"/>
  <c r="CE157" i="24"/>
  <c r="CE70" i="25"/>
  <c r="CA150" i="25"/>
  <c r="CE150" i="25"/>
  <c r="CA70" i="24"/>
  <c r="CE70" i="24"/>
  <c r="CA83" i="25"/>
  <c r="CE83" i="25"/>
  <c r="CA46" i="25"/>
  <c r="CE46" i="25"/>
  <c r="CA148" i="25"/>
  <c r="CE148" i="25"/>
  <c r="CA142" i="25"/>
  <c r="CE142" i="25"/>
  <c r="CA40" i="25"/>
  <c r="CE40" i="25"/>
  <c r="CE68" i="24"/>
  <c r="CA65" i="25"/>
  <c r="CE65" i="25"/>
  <c r="CA165" i="25"/>
  <c r="CE165" i="25"/>
  <c r="CE87" i="25"/>
  <c r="CA188" i="25"/>
  <c r="CE188" i="25"/>
  <c r="CA180" i="25"/>
  <c r="CE180" i="25"/>
  <c r="CA187" i="25"/>
  <c r="CE187" i="25"/>
  <c r="CA121" i="25"/>
  <c r="CE121" i="25"/>
  <c r="CA20" i="25"/>
  <c r="CE20" i="25"/>
  <c r="CA122" i="24"/>
  <c r="CE122" i="24"/>
  <c r="CE54" i="24"/>
  <c r="CA54" i="25"/>
  <c r="CE54" i="25"/>
  <c r="CE63" i="25"/>
  <c r="CA143" i="25"/>
  <c r="CE143" i="25"/>
  <c r="CA105" i="25"/>
  <c r="CE105" i="25"/>
  <c r="CE105" i="24"/>
  <c r="CA161" i="25"/>
  <c r="CE161" i="25"/>
  <c r="CA185" i="24"/>
  <c r="CE185" i="24"/>
  <c r="CA178" i="25"/>
  <c r="CE178" i="25"/>
  <c r="CA184" i="25"/>
  <c r="CE184" i="25"/>
  <c r="CA167" i="25"/>
  <c r="CE167" i="25"/>
  <c r="CA176" i="25"/>
  <c r="CE176" i="25"/>
  <c r="CA179" i="25"/>
  <c r="CE179" i="25"/>
  <c r="CE89" i="25"/>
  <c r="CA204" i="24"/>
  <c r="CE204" i="24"/>
  <c r="CA98" i="25"/>
  <c r="CE98" i="25"/>
  <c r="CA177" i="25"/>
  <c r="CE177" i="25"/>
  <c r="CA203" i="25"/>
  <c r="CE203" i="25"/>
  <c r="CA166" i="25"/>
  <c r="CE166" i="25"/>
  <c r="CA179" i="24"/>
  <c r="CE179" i="24"/>
  <c r="CA74" i="25"/>
  <c r="CE74" i="25"/>
  <c r="CA146" i="25"/>
  <c r="CE146" i="25"/>
  <c r="CA154" i="24"/>
  <c r="CE154" i="24"/>
  <c r="CE74" i="24"/>
  <c r="CA164" i="25"/>
  <c r="CE164" i="25"/>
  <c r="CA190" i="24"/>
  <c r="CE190" i="24"/>
  <c r="CA170" i="25"/>
  <c r="CE170" i="25"/>
  <c r="BX167" i="24"/>
  <c r="BZ167" i="24" s="1"/>
  <c r="CA139" i="24"/>
  <c r="CE139" i="24"/>
  <c r="CA50" i="24"/>
  <c r="CE50" i="24"/>
  <c r="CA44" i="25"/>
  <c r="CE44" i="25"/>
  <c r="CA135" i="25"/>
  <c r="CE135" i="25"/>
  <c r="CE47" i="25"/>
  <c r="CE67" i="25"/>
  <c r="CA160" i="24"/>
  <c r="CE160" i="24"/>
  <c r="CA144" i="25"/>
  <c r="CE144" i="25"/>
  <c r="CA174" i="25"/>
  <c r="CE174" i="25"/>
  <c r="CA103" i="25"/>
  <c r="CE103" i="25"/>
  <c r="CA207" i="24"/>
  <c r="CE207" i="24"/>
  <c r="CA206" i="25"/>
  <c r="CE206" i="25"/>
  <c r="CA173" i="25"/>
  <c r="CE173" i="25"/>
  <c r="CA102" i="25"/>
  <c r="CE102" i="25"/>
  <c r="CA63" i="24"/>
  <c r="BX115" i="24"/>
  <c r="BZ115" i="24" s="1"/>
  <c r="CA115" i="24" s="1"/>
  <c r="CA150" i="24"/>
  <c r="CE150" i="24"/>
  <c r="BX110" i="25"/>
  <c r="BZ110" i="25" s="1"/>
  <c r="CA110" i="25" s="1"/>
  <c r="BK110" i="25"/>
  <c r="BM119" i="24"/>
  <c r="BX119" i="24"/>
  <c r="BZ119" i="24" s="1"/>
  <c r="CA119" i="24" s="1"/>
  <c r="BX168" i="24"/>
  <c r="BZ168" i="24" s="1"/>
  <c r="BM168" i="24"/>
  <c r="BX156" i="24"/>
  <c r="BZ156" i="24" s="1"/>
  <c r="CA156" i="24" s="1"/>
  <c r="BM156" i="24"/>
  <c r="BM195" i="24"/>
  <c r="BX195" i="24"/>
  <c r="BZ195" i="24" s="1"/>
  <c r="BM155" i="24"/>
  <c r="BX155" i="24"/>
  <c r="BZ155" i="24" s="1"/>
  <c r="CA155" i="24" s="1"/>
  <c r="BX181" i="24"/>
  <c r="BZ181" i="24" s="1"/>
  <c r="CA181" i="24" s="1"/>
  <c r="BW181" i="24"/>
  <c r="BX176" i="24"/>
  <c r="BZ176" i="24" s="1"/>
  <c r="BM176" i="24"/>
  <c r="BX206" i="24"/>
  <c r="BZ206" i="24" s="1"/>
  <c r="CA206" i="24" s="1"/>
  <c r="BM206" i="24"/>
  <c r="BX210" i="24"/>
  <c r="BZ210" i="24" s="1"/>
  <c r="BM210" i="24"/>
  <c r="BX130" i="24"/>
  <c r="BZ130" i="24" s="1"/>
  <c r="CA130" i="24" s="1"/>
  <c r="BM130" i="24"/>
  <c r="BX192" i="24"/>
  <c r="BZ192" i="24" s="1"/>
  <c r="BM192" i="24"/>
  <c r="BX189" i="24"/>
  <c r="BZ189" i="24" s="1"/>
  <c r="CA189" i="24" s="1"/>
  <c r="BW189" i="24"/>
  <c r="BX194" i="24"/>
  <c r="BZ194" i="24" s="1"/>
  <c r="BM194" i="24"/>
  <c r="BX136" i="24"/>
  <c r="BZ136" i="24" s="1"/>
  <c r="CA136" i="24" s="1"/>
  <c r="BM136" i="24"/>
  <c r="BM159" i="24"/>
  <c r="BX159" i="24"/>
  <c r="BZ159" i="24" s="1"/>
  <c r="CA159" i="24" s="1"/>
  <c r="BM203" i="24"/>
  <c r="BX203" i="24"/>
  <c r="BZ203" i="24" s="1"/>
  <c r="BX141" i="24"/>
  <c r="BZ141" i="24" s="1"/>
  <c r="CA141" i="24" s="1"/>
  <c r="BM141" i="24"/>
  <c r="BX188" i="24"/>
  <c r="BZ188" i="24" s="1"/>
  <c r="CA188" i="24" s="1"/>
  <c r="BM188" i="24"/>
  <c r="BX193" i="24"/>
  <c r="BZ193" i="24" s="1"/>
  <c r="CA193" i="24" s="1"/>
  <c r="BM193" i="24"/>
  <c r="BX149" i="24"/>
  <c r="BZ149" i="24" s="1"/>
  <c r="BM149" i="24"/>
  <c r="BX169" i="24"/>
  <c r="BZ169" i="24" s="1"/>
  <c r="BM169" i="24"/>
  <c r="BX161" i="24"/>
  <c r="BZ161" i="24" s="1"/>
  <c r="CA161" i="24" s="1"/>
  <c r="BM161" i="24"/>
  <c r="BM123" i="24"/>
  <c r="BX123" i="24"/>
  <c r="BZ123" i="24" s="1"/>
  <c r="CA123" i="24" s="1"/>
  <c r="BX110" i="24"/>
  <c r="BZ110" i="24" s="1"/>
  <c r="CA110" i="24" s="1"/>
  <c r="BM110" i="24"/>
  <c r="BX112" i="24"/>
  <c r="BZ112" i="24" s="1"/>
  <c r="CA112" i="24" s="1"/>
  <c r="BM112" i="24"/>
  <c r="BX172" i="24"/>
  <c r="BZ172" i="24" s="1"/>
  <c r="BM172" i="24"/>
  <c r="BM191" i="24"/>
  <c r="BX191" i="24"/>
  <c r="BZ191" i="24" s="1"/>
  <c r="BX134" i="24"/>
  <c r="BZ134" i="24" s="1"/>
  <c r="CA134" i="24" s="1"/>
  <c r="BM134" i="24"/>
  <c r="BX209" i="24"/>
  <c r="BZ209" i="24" s="1"/>
  <c r="BM209" i="24"/>
  <c r="BX182" i="24"/>
  <c r="BZ182" i="24" s="1"/>
  <c r="CA182" i="24" s="1"/>
  <c r="BW182" i="24"/>
  <c r="BX114" i="24"/>
  <c r="BZ114" i="24" s="1"/>
  <c r="CA114" i="24" s="1"/>
  <c r="BM114" i="24"/>
  <c r="BM199" i="24"/>
  <c r="BX199" i="24"/>
  <c r="BZ199" i="24" s="1"/>
  <c r="BX208" i="24"/>
  <c r="BZ208" i="24" s="1"/>
  <c r="CA208" i="24" s="1"/>
  <c r="BM208" i="24"/>
  <c r="BG71" i="24"/>
  <c r="BL71" i="24" s="1"/>
  <c r="BM71" i="24" s="1"/>
  <c r="BR71" i="24"/>
  <c r="BG13" i="24"/>
  <c r="BL13" i="24" s="1"/>
  <c r="BM13" i="24" s="1"/>
  <c r="BR13" i="24"/>
  <c r="BG15" i="24"/>
  <c r="BL15" i="24" s="1"/>
  <c r="BM15" i="24" s="1"/>
  <c r="BR15" i="24"/>
  <c r="BG102" i="24"/>
  <c r="BL102" i="24" s="1"/>
  <c r="BM102" i="24" s="1"/>
  <c r="BR102" i="24"/>
  <c r="BG48" i="24"/>
  <c r="BL48" i="24" s="1"/>
  <c r="BM48" i="24" s="1"/>
  <c r="BR48" i="24"/>
  <c r="BG93" i="24"/>
  <c r="BL93" i="24" s="1"/>
  <c r="BM93" i="24" s="1"/>
  <c r="BR93" i="24"/>
  <c r="BR37" i="24"/>
  <c r="BG37" i="24"/>
  <c r="BL37" i="24" s="1"/>
  <c r="BM37" i="24" s="1"/>
  <c r="BG8" i="24"/>
  <c r="BL8" i="24" s="1"/>
  <c r="BM8" i="24" s="1"/>
  <c r="BR8" i="24"/>
  <c r="BG94" i="24"/>
  <c r="BL94" i="24" s="1"/>
  <c r="BM94" i="24" s="1"/>
  <c r="BR94" i="24"/>
  <c r="BG16" i="24"/>
  <c r="BL16" i="24" s="1"/>
  <c r="BM16" i="24" s="1"/>
  <c r="BR16" i="24"/>
  <c r="BG45" i="24"/>
  <c r="BL45" i="24" s="1"/>
  <c r="BM45" i="24" s="1"/>
  <c r="BR45" i="24"/>
  <c r="BG30" i="24"/>
  <c r="BL30" i="24" s="1"/>
  <c r="BM30" i="24" s="1"/>
  <c r="BR30" i="24"/>
  <c r="BG61" i="24"/>
  <c r="BL61" i="24" s="1"/>
  <c r="BM61" i="24" s="1"/>
  <c r="BR61" i="24"/>
  <c r="BG76" i="24"/>
  <c r="BL76" i="24" s="1"/>
  <c r="BM76" i="24" s="1"/>
  <c r="BR76" i="24"/>
  <c r="BG103" i="24"/>
  <c r="BL103" i="24" s="1"/>
  <c r="BM103" i="24" s="1"/>
  <c r="BR103" i="24"/>
  <c r="BR98" i="24"/>
  <c r="BG98" i="24"/>
  <c r="BL98" i="24" s="1"/>
  <c r="BM98" i="24" s="1"/>
  <c r="BG99" i="24"/>
  <c r="BL99" i="24" s="1"/>
  <c r="BM99" i="24" s="1"/>
  <c r="BR99" i="24"/>
  <c r="BG17" i="24"/>
  <c r="BL17" i="24" s="1"/>
  <c r="BM17" i="24" s="1"/>
  <c r="BR17" i="24"/>
  <c r="BG47" i="24"/>
  <c r="BL47" i="24" s="1"/>
  <c r="BM47" i="24" s="1"/>
  <c r="BR47" i="24"/>
  <c r="BG9" i="24"/>
  <c r="BL9" i="24" s="1"/>
  <c r="BM9" i="24" s="1"/>
  <c r="BR9" i="24"/>
  <c r="BG12" i="24"/>
  <c r="BL12" i="24" s="1"/>
  <c r="BM12" i="24" s="1"/>
  <c r="BR12" i="24"/>
  <c r="BR44" i="24"/>
  <c r="BG44" i="24"/>
  <c r="BL44" i="24" s="1"/>
  <c r="BM44" i="24" s="1"/>
  <c r="BG24" i="24"/>
  <c r="BL24" i="24" s="1"/>
  <c r="BM24" i="24" s="1"/>
  <c r="BR24" i="24"/>
  <c r="BG77" i="24"/>
  <c r="BL77" i="24" s="1"/>
  <c r="BM77" i="24" s="1"/>
  <c r="BR77" i="24"/>
  <c r="BR38" i="24"/>
  <c r="BG38" i="24"/>
  <c r="BL38" i="24" s="1"/>
  <c r="BM38" i="24" s="1"/>
  <c r="BR66" i="24"/>
  <c r="BG66" i="24"/>
  <c r="BL66" i="24" s="1"/>
  <c r="BM66" i="24" s="1"/>
  <c r="BG57" i="24"/>
  <c r="BL57" i="24" s="1"/>
  <c r="BM57" i="24" s="1"/>
  <c r="BR57" i="24"/>
  <c r="BG62" i="24"/>
  <c r="BL62" i="24" s="1"/>
  <c r="BM62" i="24" s="1"/>
  <c r="BR62" i="24"/>
  <c r="BR58" i="24"/>
  <c r="BG58" i="24"/>
  <c r="BL58" i="24" s="1"/>
  <c r="BM58" i="24" s="1"/>
  <c r="BG80" i="24"/>
  <c r="BL80" i="24" s="1"/>
  <c r="BM80" i="24" s="1"/>
  <c r="BR80" i="24"/>
  <c r="BR20" i="24"/>
  <c r="BG20" i="24"/>
  <c r="BL20" i="24" s="1"/>
  <c r="BM20" i="24" s="1"/>
  <c r="BG26" i="24"/>
  <c r="BL26" i="24" s="1"/>
  <c r="BM26" i="24" s="1"/>
  <c r="BR26" i="24"/>
  <c r="BG11" i="24"/>
  <c r="BL11" i="24" s="1"/>
  <c r="BM11" i="24" s="1"/>
  <c r="BR11" i="24"/>
  <c r="BG39" i="24"/>
  <c r="BL39" i="24" s="1"/>
  <c r="BM39" i="24" s="1"/>
  <c r="BR39" i="24"/>
  <c r="BG84" i="24"/>
  <c r="BL84" i="24" s="1"/>
  <c r="BM84" i="24" s="1"/>
  <c r="BR84" i="24"/>
  <c r="BG67" i="24"/>
  <c r="BL67" i="24" s="1"/>
  <c r="BM67" i="24" s="1"/>
  <c r="BR67" i="24"/>
  <c r="BG75" i="24"/>
  <c r="BL75" i="24" s="1"/>
  <c r="BM75" i="24" s="1"/>
  <c r="BR75" i="24"/>
  <c r="BG52" i="24"/>
  <c r="BL52" i="24" s="1"/>
  <c r="BM52" i="24" s="1"/>
  <c r="BR52" i="24"/>
  <c r="BR90" i="24"/>
  <c r="BG90" i="24"/>
  <c r="BL90" i="24" s="1"/>
  <c r="BM90" i="24" s="1"/>
  <c r="BG6" i="24"/>
  <c r="BL6" i="24" s="1"/>
  <c r="BM6" i="24" s="1"/>
  <c r="BR6" i="24"/>
  <c r="BG7" i="24"/>
  <c r="BL7" i="24" s="1"/>
  <c r="BM7" i="24" s="1"/>
  <c r="BR7" i="24"/>
  <c r="B167" i="2"/>
  <c r="C44" i="16" s="1"/>
  <c r="CA35" i="24" l="1"/>
  <c r="CE35" i="24"/>
  <c r="CA35" i="25"/>
  <c r="CE35" i="25"/>
  <c r="BX5" i="25"/>
  <c r="BZ5" i="25" s="1"/>
  <c r="CA5" i="25" s="1"/>
  <c r="BX49" i="24"/>
  <c r="BZ49" i="24" s="1"/>
  <c r="CA49" i="24" s="1"/>
  <c r="BX33" i="24"/>
  <c r="BZ33" i="24" s="1"/>
  <c r="CA33" i="24" s="1"/>
  <c r="BX65" i="24"/>
  <c r="BZ65" i="24" s="1"/>
  <c r="CA65" i="24" s="1"/>
  <c r="BX27" i="24"/>
  <c r="BZ27" i="24" s="1"/>
  <c r="CA27" i="24" s="1"/>
  <c r="BX86" i="24"/>
  <c r="BZ86" i="24" s="1"/>
  <c r="CA86" i="24" s="1"/>
  <c r="BX23" i="24"/>
  <c r="BZ23" i="24" s="1"/>
  <c r="CA23" i="24" s="1"/>
  <c r="BX64" i="24"/>
  <c r="BZ64" i="24" s="1"/>
  <c r="CA64" i="24" s="1"/>
  <c r="BX88" i="24"/>
  <c r="BZ88" i="24" s="1"/>
  <c r="CA88" i="24" s="1"/>
  <c r="BX97" i="24"/>
  <c r="BZ97" i="24" s="1"/>
  <c r="CA97" i="24" s="1"/>
  <c r="BU7" i="24"/>
  <c r="BW7" i="24" s="1"/>
  <c r="BU75" i="24"/>
  <c r="BW75" i="24" s="1"/>
  <c r="BU84" i="24"/>
  <c r="BW84" i="24" s="1"/>
  <c r="BU11" i="24"/>
  <c r="BW11" i="24" s="1"/>
  <c r="BU57" i="24"/>
  <c r="BW57" i="24" s="1"/>
  <c r="BU24" i="24"/>
  <c r="BW24" i="24" s="1"/>
  <c r="BU12" i="24"/>
  <c r="BW12" i="24" s="1"/>
  <c r="BU47" i="24"/>
  <c r="BW47" i="24" s="1"/>
  <c r="BU99" i="24"/>
  <c r="BW99" i="24" s="1"/>
  <c r="BU103" i="24"/>
  <c r="BW103" i="24" s="1"/>
  <c r="BU61" i="24"/>
  <c r="BW61" i="24" s="1"/>
  <c r="BU45" i="24"/>
  <c r="BW45" i="24" s="1"/>
  <c r="BU94" i="24"/>
  <c r="BW94" i="24" s="1"/>
  <c r="BU48" i="24"/>
  <c r="BW48" i="24" s="1"/>
  <c r="BU15" i="24"/>
  <c r="BW15" i="24" s="1"/>
  <c r="BU71" i="24"/>
  <c r="BW71" i="24" s="1"/>
  <c r="BU44" i="24"/>
  <c r="BU98" i="24"/>
  <c r="BW98" i="24" s="1"/>
  <c r="BU20" i="24"/>
  <c r="BW20" i="24" s="1"/>
  <c r="BU58" i="24"/>
  <c r="BW58" i="24" s="1"/>
  <c r="BU38" i="24"/>
  <c r="BW38" i="24" s="1"/>
  <c r="BU37" i="24"/>
  <c r="BW37" i="24" s="1"/>
  <c r="BU66" i="24"/>
  <c r="BW66" i="24" s="1"/>
  <c r="BU90" i="24"/>
  <c r="BW90" i="24" s="1"/>
  <c r="BU6" i="24"/>
  <c r="BW6" i="24" s="1"/>
  <c r="BU52" i="24"/>
  <c r="BW52" i="24" s="1"/>
  <c r="BU67" i="24"/>
  <c r="BW67" i="24" s="1"/>
  <c r="BU39" i="24"/>
  <c r="BW39" i="24" s="1"/>
  <c r="BU26" i="24"/>
  <c r="BW26" i="24" s="1"/>
  <c r="BU80" i="24"/>
  <c r="BW80" i="24" s="1"/>
  <c r="BU62" i="24"/>
  <c r="BW62" i="24" s="1"/>
  <c r="BU77" i="24"/>
  <c r="BW77" i="24" s="1"/>
  <c r="BU9" i="24"/>
  <c r="BW9" i="24" s="1"/>
  <c r="BU17" i="24"/>
  <c r="BW17" i="24" s="1"/>
  <c r="BU76" i="24"/>
  <c r="BW76" i="24" s="1"/>
  <c r="BU30" i="24"/>
  <c r="BW30" i="24" s="1"/>
  <c r="BU16" i="24"/>
  <c r="BW16" i="24" s="1"/>
  <c r="BU8" i="24"/>
  <c r="BW8" i="24" s="1"/>
  <c r="BU93" i="24"/>
  <c r="BW93" i="24" s="1"/>
  <c r="BU102" i="24"/>
  <c r="BW102" i="24" s="1"/>
  <c r="BU13" i="24"/>
  <c r="BW13" i="24" s="1"/>
  <c r="CA167" i="24"/>
  <c r="CE167" i="24"/>
  <c r="CA172" i="24"/>
  <c r="CE172" i="24"/>
  <c r="CA176" i="24"/>
  <c r="CE176" i="24"/>
  <c r="CA195" i="24"/>
  <c r="CE195" i="24"/>
  <c r="CA191" i="24"/>
  <c r="CE191" i="24"/>
  <c r="CA203" i="24"/>
  <c r="CE203" i="24"/>
  <c r="CA192" i="24"/>
  <c r="CE192" i="24"/>
  <c r="CA169" i="24"/>
  <c r="CE169" i="24"/>
  <c r="B254" i="2"/>
  <c r="CA149" i="24"/>
  <c r="CE149" i="24"/>
  <c r="CA210" i="24"/>
  <c r="CE210" i="24"/>
  <c r="CA194" i="24"/>
  <c r="CE194" i="24"/>
  <c r="CA209" i="24"/>
  <c r="CE209" i="24"/>
  <c r="CA199" i="24"/>
  <c r="CE199" i="24"/>
  <c r="CE211" i="25"/>
  <c r="CA168" i="24"/>
  <c r="CE168" i="24"/>
  <c r="B233" i="2"/>
  <c r="D44" i="16" s="1"/>
  <c r="E33" i="1"/>
  <c r="A233" i="2"/>
  <c r="BX44" i="24" l="1"/>
  <c r="BZ44" i="24" s="1"/>
  <c r="CA44" i="24" s="1"/>
  <c r="BW44" i="24"/>
  <c r="BX76" i="24"/>
  <c r="BZ76" i="24" s="1"/>
  <c r="CA76" i="24" s="1"/>
  <c r="BX9" i="24"/>
  <c r="BZ9" i="24" s="1"/>
  <c r="CA9" i="24" s="1"/>
  <c r="BX62" i="24"/>
  <c r="BZ62" i="24" s="1"/>
  <c r="CA62" i="24" s="1"/>
  <c r="BX26" i="24"/>
  <c r="BZ26" i="24" s="1"/>
  <c r="CA26" i="24" s="1"/>
  <c r="BX67" i="24"/>
  <c r="BZ67" i="24" s="1"/>
  <c r="CA67" i="24" s="1"/>
  <c r="BX6" i="24"/>
  <c r="BZ6" i="24" s="1"/>
  <c r="CA6" i="24" s="1"/>
  <c r="BX66" i="24"/>
  <c r="BZ66" i="24" s="1"/>
  <c r="CA66" i="24" s="1"/>
  <c r="BX38" i="24"/>
  <c r="BZ38" i="24" s="1"/>
  <c r="CA38" i="24" s="1"/>
  <c r="BX20" i="24"/>
  <c r="BZ20" i="24" s="1"/>
  <c r="CA20" i="24" s="1"/>
  <c r="BX61" i="24"/>
  <c r="BZ61" i="24" s="1"/>
  <c r="BX99" i="24"/>
  <c r="BZ99" i="24" s="1"/>
  <c r="CA99" i="24" s="1"/>
  <c r="BX12" i="24"/>
  <c r="BZ12" i="24" s="1"/>
  <c r="CA12" i="24" s="1"/>
  <c r="BX57" i="24"/>
  <c r="BZ57" i="24" s="1"/>
  <c r="CA57" i="24" s="1"/>
  <c r="BX84" i="24"/>
  <c r="BZ84" i="24" s="1"/>
  <c r="BX7" i="24"/>
  <c r="BZ7" i="24" s="1"/>
  <c r="CA7" i="24" s="1"/>
  <c r="BX30" i="24"/>
  <c r="BZ30" i="24" s="1"/>
  <c r="CA30" i="24" s="1"/>
  <c r="BX17" i="24"/>
  <c r="BZ17" i="24" s="1"/>
  <c r="CA17" i="24" s="1"/>
  <c r="BX15" i="24"/>
  <c r="BZ15" i="24" s="1"/>
  <c r="CA15" i="24" s="1"/>
  <c r="B256" i="2" s="1"/>
  <c r="BX94" i="24"/>
  <c r="BZ94" i="24" s="1"/>
  <c r="CA94" i="24" s="1"/>
  <c r="BX8" i="24"/>
  <c r="BZ8" i="24" s="1"/>
  <c r="CA8" i="24" s="1"/>
  <c r="BX102" i="24"/>
  <c r="BZ102" i="24" s="1"/>
  <c r="CA102" i="24" s="1"/>
  <c r="BX77" i="24"/>
  <c r="BZ77" i="24" s="1"/>
  <c r="CA77" i="24" s="1"/>
  <c r="BX80" i="24"/>
  <c r="BZ80" i="24" s="1"/>
  <c r="CA80" i="24" s="1"/>
  <c r="BX90" i="24"/>
  <c r="BZ90" i="24" s="1"/>
  <c r="CA90" i="24" s="1"/>
  <c r="BX37" i="24"/>
  <c r="BZ37" i="24" s="1"/>
  <c r="CA37" i="24" s="1"/>
  <c r="BX58" i="24"/>
  <c r="BZ58" i="24" s="1"/>
  <c r="CA58" i="24" s="1"/>
  <c r="BX45" i="24"/>
  <c r="BZ45" i="24" s="1"/>
  <c r="BX24" i="24"/>
  <c r="BZ24" i="24" s="1"/>
  <c r="CA24" i="24" s="1"/>
  <c r="BX75" i="24"/>
  <c r="BZ75" i="24" s="1"/>
  <c r="CA75" i="24" s="1"/>
  <c r="BX13" i="24"/>
  <c r="BZ13" i="24" s="1"/>
  <c r="CA13" i="24" s="1"/>
  <c r="BX93" i="24"/>
  <c r="BZ93" i="24" s="1"/>
  <c r="CA93" i="24" s="1"/>
  <c r="BX16" i="24"/>
  <c r="BZ16" i="24" s="1"/>
  <c r="CA16" i="24" s="1"/>
  <c r="BX39" i="24"/>
  <c r="BZ39" i="24" s="1"/>
  <c r="CA39" i="24" s="1"/>
  <c r="BX52" i="24"/>
  <c r="BZ52" i="24" s="1"/>
  <c r="CA52" i="24" s="1"/>
  <c r="BX98" i="24"/>
  <c r="BZ98" i="24" s="1"/>
  <c r="CA98" i="24" s="1"/>
  <c r="BX71" i="24"/>
  <c r="BZ71" i="24" s="1"/>
  <c r="CA71" i="24" s="1"/>
  <c r="BX48" i="24"/>
  <c r="BZ48" i="24" s="1"/>
  <c r="CA48" i="24" s="1"/>
  <c r="BX103" i="24"/>
  <c r="BZ103" i="24" s="1"/>
  <c r="CA103" i="24" s="1"/>
  <c r="BX47" i="24"/>
  <c r="BZ47" i="24" s="1"/>
  <c r="CA47" i="24" s="1"/>
  <c r="BX11" i="24"/>
  <c r="BZ11" i="24" s="1"/>
  <c r="CA11" i="24" s="1"/>
  <c r="CE94" i="24"/>
  <c r="CE93" i="24"/>
  <c r="CE47" i="24"/>
  <c r="CE98" i="24"/>
  <c r="CE20" i="24"/>
  <c r="CF211" i="24"/>
  <c r="L15" i="1" s="1"/>
  <c r="CE67" i="24"/>
  <c r="CA61" i="24" l="1"/>
  <c r="CE61" i="24"/>
  <c r="CA84" i="24"/>
  <c r="CE84" i="24"/>
  <c r="CE45" i="24"/>
  <c r="CA45" i="24"/>
</calcChain>
</file>

<file path=xl/comments1.xml><?xml version="1.0" encoding="utf-8"?>
<comments xmlns="http://schemas.openxmlformats.org/spreadsheetml/2006/main">
  <authors>
    <author>Timothy Hegarty</author>
    <author>Hegarty, Timothy</author>
  </authors>
  <commentList>
    <comment ref="A3" authorId="0">
      <text>
        <r>
          <rPr>
            <b/>
            <sz val="11"/>
            <color indexed="10"/>
            <rFont val="Tahoma"/>
            <family val="2"/>
          </rPr>
          <t>Welcome to the LM5180 Design Tool</t>
        </r>
        <r>
          <rPr>
            <sz val="9"/>
            <color indexed="81"/>
            <rFont val="Tahoma"/>
            <family val="2"/>
          </rPr>
          <t xml:space="preserve">
This stand-alone tool facilitates and assists the power supply engineer with design of an isolated DC/DC regulator based on the </t>
        </r>
        <r>
          <rPr>
            <b/>
            <sz val="9"/>
            <color indexed="81"/>
            <rFont val="Tahoma"/>
            <family val="2"/>
          </rPr>
          <t>LM5180 low I</t>
        </r>
        <r>
          <rPr>
            <b/>
            <vertAlign val="subscript"/>
            <sz val="9"/>
            <color indexed="81"/>
            <rFont val="Tahoma"/>
            <family val="2"/>
          </rPr>
          <t>Q</t>
        </r>
        <r>
          <rPr>
            <b/>
            <sz val="9"/>
            <color indexed="81"/>
            <rFont val="Tahoma"/>
            <family val="2"/>
          </rPr>
          <t xml:space="preserve"> PSR flyback converter</t>
        </r>
        <r>
          <rPr>
            <sz val="9"/>
            <color indexed="81"/>
            <rFont val="Tahoma"/>
            <family val="2"/>
          </rPr>
          <t xml:space="preserve">. As such, the user can expeditiously arrive at an optimized design by virtue of the following:
- Select transformer parameters including turns ratio and mag inductance
- Determine input and output capacitances for specified ripple requirements (1% Vout and 5% Vin)
- Select components for feedback, soft-start, input UVLO, and temperature compensation
- Advise componnets (usually optional) for SW voltage clamp and and flyback diode snubber
- Optimize the design using efficiency and solution size as key performance metrics
- Inspect converter efficiency and switching frequency over load and line
- Analyze efficiency based on selected component parameters
- Review auto-generated schematic and BOM list
</t>
        </r>
        <r>
          <rPr>
            <b/>
            <sz val="9"/>
            <color indexed="81"/>
            <rFont val="Tahoma"/>
            <family val="2"/>
          </rPr>
          <t>IMPORTANT:</t>
        </r>
        <r>
          <rPr>
            <sz val="9"/>
            <color indexed="81"/>
            <rFont val="Tahoma"/>
            <family val="2"/>
          </rPr>
          <t xml:space="preserve"> You must enable macros if Microsoft EXCEL asks as the file is being opened.
U.S. English notation is used throughout.
</t>
        </r>
        <r>
          <rPr>
            <u/>
            <sz val="9"/>
            <color indexed="12"/>
            <rFont val="Tahoma"/>
            <family val="2"/>
          </rPr>
          <t>http://www.ti.com/widevin/</t>
        </r>
        <r>
          <rPr>
            <sz val="9"/>
            <color indexed="81"/>
            <rFont val="Tahoma"/>
            <family val="2"/>
          </rPr>
          <t xml:space="preserve">
</t>
        </r>
        <r>
          <rPr>
            <b/>
            <sz val="9"/>
            <color indexed="81"/>
            <rFont val="Tahoma"/>
            <family val="2"/>
          </rPr>
          <t xml:space="preserve">
Rev 1.0, Timothy Hegarty, Texas Instruments, Inc.</t>
        </r>
      </text>
    </comment>
    <comment ref="U3" authorId="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design tool and recommends that all designs be fully tested and carefully verified. Refer to the LM5180 product datasheet and EVM user's guide for more details.
</t>
        </r>
        <r>
          <rPr>
            <b/>
            <sz val="9"/>
            <color indexed="81"/>
            <rFont val="Tahoma"/>
            <family val="2"/>
          </rPr>
          <t>Rev 1.0, Timothy Hegarty, Texas Instruments, Inc.</t>
        </r>
      </text>
    </comment>
    <comment ref="F6" authorId="0">
      <text>
        <r>
          <rPr>
            <b/>
            <u/>
            <sz val="9"/>
            <color indexed="81"/>
            <rFont val="Tahoma"/>
            <family val="2"/>
          </rPr>
          <t>Minimum Input Voltage</t>
        </r>
        <r>
          <rPr>
            <b/>
            <sz val="9"/>
            <color indexed="81"/>
            <rFont val="Tahoma"/>
            <family val="2"/>
          </rPr>
          <t>:</t>
        </r>
        <r>
          <rPr>
            <sz val="9"/>
            <color indexed="81"/>
            <rFont val="Tahoma"/>
            <family val="2"/>
          </rPr>
          <t xml:space="preserve">
Enter the minimum input operating voltage.
The LM25180 input voltage operating range is 4.5V to 42V.
</t>
        </r>
        <r>
          <rPr>
            <b/>
            <sz val="9"/>
            <color indexed="81"/>
            <rFont val="Tahoma"/>
            <family val="2"/>
          </rPr>
          <t>The text in this cell is red if:</t>
        </r>
        <r>
          <rPr>
            <sz val="9"/>
            <color indexed="81"/>
            <rFont val="Tahoma"/>
            <family val="2"/>
          </rPr>
          <t xml:space="preserve">
-The input voltage is above </t>
        </r>
        <r>
          <rPr>
            <b/>
            <sz val="9"/>
            <color indexed="10"/>
            <rFont val="Tahoma"/>
            <family val="2"/>
          </rPr>
          <t>42V</t>
        </r>
        <r>
          <rPr>
            <sz val="9"/>
            <color indexed="81"/>
            <rFont val="Tahoma"/>
            <family val="2"/>
          </rPr>
          <t xml:space="preserve">
-The input voltage is below </t>
        </r>
        <r>
          <rPr>
            <b/>
            <sz val="9"/>
            <color indexed="10"/>
            <rFont val="Tahoma"/>
            <family val="2"/>
          </rPr>
          <t>4.5V</t>
        </r>
      </text>
    </comment>
    <comment ref="M6" authorId="0">
      <text>
        <r>
          <rPr>
            <b/>
            <u/>
            <sz val="9"/>
            <color indexed="81"/>
            <rFont val="Tahoma"/>
            <family val="2"/>
          </rPr>
          <t>Minimum Magnetizing Inductance</t>
        </r>
        <r>
          <rPr>
            <b/>
            <sz val="9"/>
            <color indexed="81"/>
            <rFont val="Tahoma"/>
            <family val="2"/>
          </rPr>
          <t xml:space="preserve">:
</t>
        </r>
        <r>
          <rPr>
            <sz val="9"/>
            <color indexed="81"/>
            <rFont val="Tahoma"/>
            <family val="2"/>
          </rPr>
          <t>The minimum magnetizing inductance is set by the off-time constraint at light loads (in FFM). The requirement is that the magnetizing current must not decrease to zero in less than 500ns.</t>
        </r>
      </text>
    </comment>
    <comment ref="F7" authorId="0">
      <text>
        <r>
          <rPr>
            <b/>
            <u/>
            <sz val="9"/>
            <color indexed="81"/>
            <rFont val="Tahoma"/>
            <family val="2"/>
          </rPr>
          <t>Nominal Input Voltage</t>
        </r>
        <r>
          <rPr>
            <b/>
            <sz val="9"/>
            <color indexed="81"/>
            <rFont val="Tahoma"/>
            <family val="2"/>
          </rPr>
          <t>:</t>
        </r>
        <r>
          <rPr>
            <sz val="9"/>
            <color indexed="81"/>
            <rFont val="Tahoma"/>
            <family val="2"/>
          </rPr>
          <t xml:space="preserve">
Enter the nominal input operating voltage.
The LM25180 input voltage operating range is 4.5V to 42V.
</t>
        </r>
        <r>
          <rPr>
            <b/>
            <sz val="9"/>
            <color indexed="81"/>
            <rFont val="Tahoma"/>
            <family val="2"/>
          </rPr>
          <t>The text in this cell is red if:</t>
        </r>
        <r>
          <rPr>
            <sz val="9"/>
            <color indexed="81"/>
            <rFont val="Tahoma"/>
            <family val="2"/>
          </rPr>
          <t xml:space="preserve">
-The input voltage is above </t>
        </r>
        <r>
          <rPr>
            <b/>
            <sz val="9"/>
            <color indexed="10"/>
            <rFont val="Tahoma"/>
            <family val="2"/>
          </rPr>
          <t>42V</t>
        </r>
        <r>
          <rPr>
            <sz val="9"/>
            <color indexed="81"/>
            <rFont val="Tahoma"/>
            <family val="2"/>
          </rPr>
          <t xml:space="preserve">
-The input voltage is below </t>
        </r>
        <r>
          <rPr>
            <b/>
            <sz val="9"/>
            <color indexed="10"/>
            <rFont val="Tahoma"/>
            <family val="2"/>
          </rPr>
          <t>4.5V</t>
        </r>
      </text>
    </comment>
    <comment ref="M7" authorId="0">
      <text>
        <r>
          <rPr>
            <b/>
            <u/>
            <sz val="9"/>
            <color indexed="81"/>
            <rFont val="Tahoma"/>
            <family val="2"/>
          </rPr>
          <t>Magnetizing Inductance</t>
        </r>
        <r>
          <rPr>
            <b/>
            <sz val="9"/>
            <color indexed="81"/>
            <rFont val="Tahoma"/>
            <family val="2"/>
          </rPr>
          <t xml:space="preserve">:
</t>
        </r>
        <r>
          <rPr>
            <sz val="9"/>
            <color indexed="81"/>
            <rFont val="Tahoma"/>
            <family val="2"/>
          </rPr>
          <t xml:space="preserve">Enter the transformer mag inductance here.
Lower inductance provides an earlier transition from FFM to DCM but pushes out (or entirely eliminates) BCM operation. The main priviso is that the rated output current is achieved at nominal input voltage.
</t>
        </r>
        <r>
          <rPr>
            <b/>
            <sz val="9"/>
            <color indexed="81"/>
            <rFont val="Tahoma"/>
            <family val="2"/>
          </rPr>
          <t xml:space="preserve">This cell is flagged </t>
        </r>
        <r>
          <rPr>
            <b/>
            <sz val="9"/>
            <color indexed="10"/>
            <rFont val="Tahoma"/>
            <family val="2"/>
          </rPr>
          <t>RED</t>
        </r>
        <r>
          <rPr>
            <b/>
            <sz val="9"/>
            <color indexed="81"/>
            <rFont val="Tahoma"/>
            <family val="2"/>
          </rPr>
          <t xml:space="preserve"> if:</t>
        </r>
        <r>
          <rPr>
            <b/>
            <sz val="9"/>
            <color indexed="39"/>
            <rFont val="Tahoma"/>
            <family val="2"/>
          </rPr>
          <t xml:space="preserve">
</t>
        </r>
        <r>
          <rPr>
            <b/>
            <sz val="9"/>
            <color indexed="10"/>
            <rFont val="Tahoma"/>
            <family val="2"/>
          </rPr>
          <t>-The chosen inductance causes the peak current at max input voltage...</t>
        </r>
      </text>
    </comment>
    <comment ref="F8" authorId="0">
      <text>
        <r>
          <rPr>
            <b/>
            <u/>
            <sz val="9"/>
            <color indexed="81"/>
            <rFont val="Tahoma"/>
            <family val="2"/>
          </rPr>
          <t>Maximum Input Voltage</t>
        </r>
        <r>
          <rPr>
            <b/>
            <sz val="9"/>
            <color indexed="81"/>
            <rFont val="Tahoma"/>
            <family val="2"/>
          </rPr>
          <t>:</t>
        </r>
        <r>
          <rPr>
            <sz val="9"/>
            <color indexed="81"/>
            <rFont val="Tahoma"/>
            <family val="2"/>
          </rPr>
          <t xml:space="preserve">
Enter the maximum input operating voltage.
The LM25180 input voltage operating range is 4.5V to 42V.
</t>
        </r>
        <r>
          <rPr>
            <b/>
            <sz val="9"/>
            <color indexed="81"/>
            <rFont val="Tahoma"/>
            <family val="2"/>
          </rPr>
          <t>The text in this cell is red if:</t>
        </r>
        <r>
          <rPr>
            <sz val="9"/>
            <color indexed="81"/>
            <rFont val="Tahoma"/>
            <family val="2"/>
          </rPr>
          <t xml:space="preserve">
-The input voltage is above </t>
        </r>
        <r>
          <rPr>
            <b/>
            <sz val="9"/>
            <color indexed="10"/>
            <rFont val="Tahoma"/>
            <family val="2"/>
          </rPr>
          <t>42V</t>
        </r>
        <r>
          <rPr>
            <sz val="9"/>
            <color indexed="81"/>
            <rFont val="Tahoma"/>
            <family val="2"/>
          </rPr>
          <t xml:space="preserve">
-The input voltage is below </t>
        </r>
        <r>
          <rPr>
            <b/>
            <sz val="9"/>
            <color indexed="10"/>
            <rFont val="Tahoma"/>
            <family val="2"/>
          </rPr>
          <t>4.5V</t>
        </r>
      </text>
    </comment>
    <comment ref="M8" authorId="0">
      <text>
        <r>
          <rPr>
            <b/>
            <u/>
            <sz val="9"/>
            <color indexed="81"/>
            <rFont val="Tahoma"/>
            <family val="2"/>
          </rPr>
          <t>Primary Winding DCR</t>
        </r>
        <r>
          <rPr>
            <b/>
            <sz val="9"/>
            <color indexed="81"/>
            <rFont val="Tahoma"/>
            <family val="2"/>
          </rPr>
          <t xml:space="preserve">:
</t>
        </r>
        <r>
          <rPr>
            <sz val="9"/>
            <color indexed="81"/>
            <rFont val="Tahoma"/>
            <family val="2"/>
          </rPr>
          <t>Enter the primary winding DC resistance (DCR) here. This is typically specified in the transformer datasheet at 25°C copper temperature.</t>
        </r>
      </text>
    </comment>
    <comment ref="M9" authorId="0">
      <text>
        <r>
          <rPr>
            <b/>
            <u/>
            <sz val="9"/>
            <color indexed="81"/>
            <rFont val="Tahoma"/>
            <family val="2"/>
          </rPr>
          <t>Secondary Winding DCR</t>
        </r>
        <r>
          <rPr>
            <b/>
            <sz val="9"/>
            <color indexed="81"/>
            <rFont val="Tahoma"/>
            <family val="2"/>
          </rPr>
          <t xml:space="preserve">:
</t>
        </r>
        <r>
          <rPr>
            <sz val="9"/>
            <color indexed="81"/>
            <rFont val="Tahoma"/>
            <family val="2"/>
          </rPr>
          <t>Enter the secondary winding DCR here. This is typically specified in the transformer datasheet at 25°C copper temperature.</t>
        </r>
      </text>
    </comment>
    <comment ref="F10" authorId="0">
      <text>
        <r>
          <rPr>
            <b/>
            <u/>
            <sz val="9"/>
            <color indexed="81"/>
            <rFont val="Tahoma"/>
            <family val="2"/>
          </rPr>
          <t>Output Voltage</t>
        </r>
        <r>
          <rPr>
            <b/>
            <sz val="9"/>
            <color indexed="81"/>
            <rFont val="Tahoma"/>
            <family val="2"/>
          </rPr>
          <t xml:space="preserve">:
</t>
        </r>
        <r>
          <rPr>
            <sz val="9"/>
            <color indexed="81"/>
            <rFont val="Tahoma"/>
            <family val="2"/>
          </rPr>
          <t xml:space="preserve">Enter the desired </t>
        </r>
        <r>
          <rPr>
            <sz val="9"/>
            <color indexed="8"/>
            <rFont val="Tahoma"/>
            <family val="2"/>
          </rPr>
          <t>output</t>
        </r>
        <r>
          <rPr>
            <sz val="9"/>
            <color indexed="81"/>
            <rFont val="Tahoma"/>
            <family val="2"/>
          </rPr>
          <t xml:space="preserve"> voltage here.</t>
        </r>
      </text>
    </comment>
    <comment ref="F11" authorId="0">
      <text>
        <r>
          <rPr>
            <b/>
            <u/>
            <sz val="9"/>
            <color indexed="81"/>
            <rFont val="Tahoma"/>
            <family val="2"/>
          </rPr>
          <t>Output Current</t>
        </r>
        <r>
          <rPr>
            <b/>
            <sz val="9"/>
            <color indexed="81"/>
            <rFont val="Tahoma"/>
            <family val="2"/>
          </rPr>
          <t xml:space="preserve">:
</t>
        </r>
        <r>
          <rPr>
            <sz val="9"/>
            <color indexed="81"/>
            <rFont val="Tahoma"/>
            <family val="2"/>
          </rPr>
          <t>Enter the desired output current here.</t>
        </r>
        <r>
          <rPr>
            <b/>
            <sz val="9"/>
            <color indexed="81"/>
            <rFont val="Tahoma"/>
            <family val="2"/>
          </rPr>
          <t xml:space="preserve">
</t>
        </r>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
        </r>
        <r>
          <rPr>
            <b/>
            <sz val="9"/>
            <color indexed="39"/>
            <rFont val="Tahoma"/>
            <family val="2"/>
          </rPr>
          <t>-The output power is above</t>
        </r>
        <r>
          <rPr>
            <b/>
            <sz val="9"/>
            <color indexed="10"/>
            <rFont val="Tahoma"/>
            <family val="2"/>
          </rPr>
          <t xml:space="preserve"> 7W (the output current causes current limit to engage)
</t>
        </r>
        <r>
          <rPr>
            <b/>
            <sz val="9"/>
            <color indexed="39"/>
            <rFont val="Tahoma"/>
            <family val="2"/>
          </rPr>
          <t xml:space="preserve">-The output current is below </t>
        </r>
        <r>
          <rPr>
            <b/>
            <sz val="9"/>
            <color indexed="10"/>
            <rFont val="Tahoma"/>
            <family val="2"/>
          </rPr>
          <t xml:space="preserve">10mA
</t>
        </r>
      </text>
    </comment>
    <comment ref="M14" authorId="0">
      <text>
        <r>
          <rPr>
            <b/>
            <u/>
            <sz val="9"/>
            <color indexed="81"/>
            <rFont val="Tahoma"/>
            <family val="2"/>
          </rPr>
          <t>Max Duty Cycle</t>
        </r>
        <r>
          <rPr>
            <b/>
            <sz val="9"/>
            <color indexed="81"/>
            <rFont val="Tahoma"/>
            <family val="2"/>
          </rPr>
          <t xml:space="preserve">:
</t>
        </r>
        <r>
          <rPr>
            <sz val="9"/>
            <color indexed="81"/>
            <rFont val="Tahoma"/>
            <family val="2"/>
          </rPr>
          <t>The max operating duty cycle is preferably kept below 75% to prevent high peak/rms currents in the flyback diode(s) and secondary winding(s).</t>
        </r>
      </text>
    </comment>
    <comment ref="M15" authorId="0">
      <text>
        <r>
          <rPr>
            <b/>
            <u/>
            <sz val="9"/>
            <color indexed="81"/>
            <rFont val="Tahoma"/>
            <family val="2"/>
          </rPr>
          <t>Max Output Current at VIN(min)</t>
        </r>
        <r>
          <rPr>
            <b/>
            <sz val="9"/>
            <color indexed="81"/>
            <rFont val="Tahoma"/>
            <family val="2"/>
          </rPr>
          <t xml:space="preserve">:
</t>
        </r>
        <r>
          <rPr>
            <sz val="9"/>
            <color indexed="81"/>
            <rFont val="Tahoma"/>
            <family val="2"/>
          </rPr>
          <t>The output power is most limited at minimum input operating voltage. Adjust the transformer turns ratio if needed.</t>
        </r>
      </text>
    </comment>
    <comment ref="F16" authorId="0">
      <text>
        <r>
          <rPr>
            <b/>
            <u/>
            <sz val="9"/>
            <color indexed="81"/>
            <rFont val="Tahoma"/>
            <family val="2"/>
          </rPr>
          <t>Minimum Recommended Cin</t>
        </r>
        <r>
          <rPr>
            <b/>
            <sz val="9"/>
            <color indexed="81"/>
            <rFont val="Tahoma"/>
            <family val="2"/>
          </rPr>
          <t xml:space="preserve">:
</t>
        </r>
        <r>
          <rPr>
            <sz val="9"/>
            <color indexed="81"/>
            <rFont val="Tahoma"/>
            <family val="2"/>
          </rPr>
          <t xml:space="preserve">This is the minimum input cap based on 10% pk-pk voltage ripple at the input.
</t>
        </r>
        <r>
          <rPr>
            <sz val="9"/>
            <color indexed="39"/>
            <rFont val="Tahoma"/>
            <family val="2"/>
          </rPr>
          <t xml:space="preserve">
</t>
        </r>
        <r>
          <rPr>
            <b/>
            <sz val="9"/>
            <color indexed="39"/>
            <rFont val="Tahoma"/>
            <family val="2"/>
          </rPr>
          <t>This condition is derived at VIN(nom).</t>
        </r>
        <r>
          <rPr>
            <b/>
            <sz val="9"/>
            <color indexed="81"/>
            <rFont val="Tahoma"/>
            <family val="2"/>
          </rPr>
          <t xml:space="preserve">
</t>
        </r>
      </text>
    </comment>
    <comment ref="F17" authorId="0">
      <text>
        <r>
          <rPr>
            <b/>
            <u/>
            <sz val="9"/>
            <color indexed="81"/>
            <rFont val="Tahoma"/>
            <family val="2"/>
          </rPr>
          <t>Input Capacitance</t>
        </r>
        <r>
          <rPr>
            <b/>
            <sz val="9"/>
            <color indexed="81"/>
            <rFont val="Tahoma"/>
            <family val="2"/>
          </rPr>
          <t xml:space="preserve">:
</t>
        </r>
        <r>
          <rPr>
            <sz val="9"/>
            <color indexed="81"/>
            <rFont val="Tahoma"/>
            <family val="2"/>
          </rPr>
          <t xml:space="preserve">Enter the input capacitance here based on the minimum calculated result. Ensure that the nominal capacitance is appropriately derated for applied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input capacitor is smaller than the minimum ideal capacitance.</t>
        </r>
      </text>
    </comment>
    <comment ref="F18" authorId="0">
      <text>
        <r>
          <rPr>
            <b/>
            <u/>
            <sz val="9"/>
            <color indexed="81"/>
            <rFont val="Tahoma"/>
            <family val="2"/>
          </rPr>
          <t>Input Capacitor ESR</t>
        </r>
        <r>
          <rPr>
            <b/>
            <sz val="9"/>
            <color indexed="81"/>
            <rFont val="Tahoma"/>
            <family val="2"/>
          </rPr>
          <t xml:space="preserve">:
</t>
        </r>
        <r>
          <rPr>
            <sz val="9"/>
            <color indexed="81"/>
            <rFont val="Tahoma"/>
            <family val="2"/>
          </rPr>
          <t>Enter the input capacitor ESR here based on the maximum allowed input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F20" authorId="0">
      <text>
        <r>
          <rPr>
            <b/>
            <u/>
            <sz val="9"/>
            <color indexed="81"/>
            <rFont val="Tahoma"/>
            <family val="2"/>
          </rPr>
          <t>Minimum Recommneded Cout</t>
        </r>
        <r>
          <rPr>
            <b/>
            <sz val="9"/>
            <color indexed="81"/>
            <rFont val="Tahoma"/>
            <family val="2"/>
          </rPr>
          <t xml:space="preserve">:
</t>
        </r>
        <r>
          <rPr>
            <sz val="9"/>
            <color indexed="81"/>
            <rFont val="Tahoma"/>
            <family val="2"/>
          </rPr>
          <t xml:space="preserve">This is the minimum output cap based on 1% ripple at Vin(nom), full load
</t>
        </r>
        <r>
          <rPr>
            <sz val="9"/>
            <color indexed="39"/>
            <rFont val="Tahoma"/>
            <family val="2"/>
          </rPr>
          <t xml:space="preserve">
</t>
        </r>
        <r>
          <rPr>
            <b/>
            <sz val="9"/>
            <color indexed="39"/>
            <rFont val="Tahoma"/>
            <family val="2"/>
          </rPr>
          <t>NB: this condition is derived at VIN(nom).</t>
        </r>
        <r>
          <rPr>
            <b/>
            <sz val="9"/>
            <color indexed="81"/>
            <rFont val="Tahoma"/>
            <family val="2"/>
          </rPr>
          <t xml:space="preserve">
</t>
        </r>
      </text>
    </comment>
    <comment ref="F21" authorId="0">
      <text>
        <r>
          <rPr>
            <b/>
            <u/>
            <sz val="9"/>
            <color indexed="81"/>
            <rFont val="Tahoma"/>
            <family val="2"/>
          </rPr>
          <t>Output Capacitance</t>
        </r>
        <r>
          <rPr>
            <b/>
            <sz val="9"/>
            <color indexed="81"/>
            <rFont val="Tahoma"/>
            <family val="2"/>
          </rPr>
          <t>:</t>
        </r>
        <r>
          <rPr>
            <sz val="9"/>
            <color indexed="81"/>
            <rFont val="Tahoma"/>
            <family val="2"/>
          </rPr>
          <t xml:space="preserve">
Enter the output capacitance here based on the minimum calculated result. Make sure that the nominal capacitance is appropriately derated for applied voltage, particularly with </t>
        </r>
        <r>
          <rPr>
            <sz val="9"/>
            <color indexed="39"/>
            <rFont val="Tahoma"/>
            <family val="2"/>
          </rPr>
          <t>ceramics</t>
        </r>
        <r>
          <rPr>
            <sz val="9"/>
            <color indexed="81"/>
            <rFont val="Tahoma"/>
            <family val="2"/>
          </rPr>
          <t xml:space="preserve">.
</t>
        </r>
        <r>
          <rPr>
            <b/>
            <sz val="9"/>
            <color indexed="81"/>
            <rFont val="Tahoma"/>
            <family val="2"/>
          </rPr>
          <t>The text in this cell is flagged red if:</t>
        </r>
        <r>
          <rPr>
            <sz val="9"/>
            <color indexed="81"/>
            <rFont val="Tahoma"/>
            <family val="2"/>
          </rPr>
          <t xml:space="preserve">
</t>
        </r>
        <r>
          <rPr>
            <b/>
            <sz val="9"/>
            <color indexed="10"/>
            <rFont val="Tahoma"/>
            <family val="2"/>
          </rPr>
          <t>-The chosen output capacitor is smaller than the minimum ideal capacitance.</t>
        </r>
      </text>
    </comment>
    <comment ref="F22" authorId="0">
      <text>
        <r>
          <rPr>
            <b/>
            <u/>
            <sz val="9"/>
            <color indexed="81"/>
            <rFont val="Tahoma"/>
            <family val="2"/>
          </rPr>
          <t>Output Capacitor ESR</t>
        </r>
        <r>
          <rPr>
            <b/>
            <sz val="9"/>
            <color indexed="81"/>
            <rFont val="Tahoma"/>
            <family val="2"/>
          </rPr>
          <t xml:space="preserve">:
</t>
        </r>
        <r>
          <rPr>
            <sz val="9"/>
            <color indexed="81"/>
            <rFont val="Tahoma"/>
            <family val="2"/>
          </rPr>
          <t>Enter the output capacitor ESR here based on the maximum allowed output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F28" authorId="0">
      <text>
        <r>
          <rPr>
            <b/>
            <u/>
            <sz val="9"/>
            <color indexed="81"/>
            <rFont val="Tahoma"/>
            <family val="2"/>
          </rPr>
          <t>Soft-Start Time</t>
        </r>
        <r>
          <rPr>
            <b/>
            <sz val="9"/>
            <color indexed="81"/>
            <rFont val="Tahoma"/>
            <family val="2"/>
          </rPr>
          <t xml:space="preserve">:
</t>
        </r>
        <r>
          <rPr>
            <sz val="9"/>
            <color indexed="81"/>
            <rFont val="Tahoma"/>
            <family val="2"/>
          </rPr>
          <t xml:space="preserve">Enter the </t>
        </r>
        <r>
          <rPr>
            <b/>
            <sz val="9"/>
            <color indexed="39"/>
            <rFont val="Tahoma"/>
            <family val="2"/>
          </rPr>
          <t>desired soft-start time</t>
        </r>
        <r>
          <rPr>
            <sz val="9"/>
            <color indexed="81"/>
            <rFont val="Tahoma"/>
            <family val="2"/>
          </rPr>
          <t xml:space="preserve"> as required (must be greater than 6ms)
Leave the </t>
        </r>
        <r>
          <rPr>
            <b/>
            <sz val="9"/>
            <color indexed="39"/>
            <rFont val="Tahoma"/>
            <family val="2"/>
          </rPr>
          <t>SS/BIAS pin open circuit</t>
        </r>
        <r>
          <rPr>
            <sz val="9"/>
            <color indexed="81"/>
            <rFont val="Tahoma"/>
            <family val="2"/>
          </rPr>
          <t xml:space="preserve"> to provide a soft-start time of </t>
        </r>
        <r>
          <rPr>
            <b/>
            <sz val="9"/>
            <color indexed="81"/>
            <rFont val="Tahoma"/>
            <family val="2"/>
          </rPr>
          <t>6ms</t>
        </r>
        <r>
          <rPr>
            <sz val="9"/>
            <color indexed="81"/>
            <rFont val="Tahoma"/>
            <family val="2"/>
          </rPr>
          <t>.
Connect an auxiliary bias rail to SS/BIAS to reduce quiescent current and bias power dissipation.</t>
        </r>
        <r>
          <rPr>
            <b/>
            <sz val="9"/>
            <color indexed="81"/>
            <rFont val="Tahoma"/>
            <family val="2"/>
          </rPr>
          <t xml:space="preserve">
The text in the cell below becomes red if:
</t>
        </r>
        <r>
          <rPr>
            <b/>
            <sz val="9"/>
            <color indexed="10"/>
            <rFont val="Tahoma"/>
            <family val="2"/>
          </rPr>
          <t>-The specified programmable soft-start time is less than 6ms.</t>
        </r>
        <r>
          <rPr>
            <sz val="9"/>
            <color indexed="81"/>
            <rFont val="Tahoma"/>
            <family val="2"/>
          </rPr>
          <t xml:space="preserve">
</t>
        </r>
      </text>
    </comment>
    <comment ref="F34" authorId="0">
      <text>
        <r>
          <rPr>
            <b/>
            <u/>
            <sz val="9"/>
            <color indexed="81"/>
            <rFont val="Tahoma"/>
            <family val="2"/>
          </rPr>
          <t>Nominal Input UVLO Turn-On/Off Threshold Levels</t>
        </r>
        <r>
          <rPr>
            <b/>
            <sz val="9"/>
            <color indexed="81"/>
            <rFont val="Tahoma"/>
            <family val="2"/>
          </rPr>
          <t>:</t>
        </r>
        <r>
          <rPr>
            <sz val="9"/>
            <color indexed="81"/>
            <rFont val="Tahoma"/>
            <family val="2"/>
          </rPr>
          <t xml:space="preserve">
Enter the nominal input voltages for UVLO turn-on and turn-off. 
Note that the LM25180 input operating voltage range is</t>
        </r>
        <r>
          <rPr>
            <b/>
            <sz val="9"/>
            <color indexed="81"/>
            <rFont val="Tahoma"/>
            <family val="2"/>
          </rPr>
          <t xml:space="preserve"> 4.5V to 42V (3.5V after startup).</t>
        </r>
        <r>
          <rPr>
            <sz val="9"/>
            <color indexed="81"/>
            <rFont val="Tahoma"/>
            <family val="2"/>
          </rPr>
          <t xml:space="preserve">
</t>
        </r>
        <r>
          <rPr>
            <b/>
            <sz val="9"/>
            <color indexed="81"/>
            <rFont val="Tahoma"/>
            <family val="2"/>
          </rPr>
          <t>The text in the cell below becomes red if:</t>
        </r>
        <r>
          <rPr>
            <sz val="9"/>
            <color indexed="81"/>
            <rFont val="Tahoma"/>
            <family val="2"/>
          </rPr>
          <t xml:space="preserve">
-The input voltage UVLO turn-on is above </t>
        </r>
        <r>
          <rPr>
            <b/>
            <sz val="9"/>
            <color indexed="10"/>
            <rFont val="Tahoma"/>
            <family val="2"/>
          </rPr>
          <t>42V</t>
        </r>
        <r>
          <rPr>
            <sz val="9"/>
            <color indexed="81"/>
            <rFont val="Tahoma"/>
            <family val="2"/>
          </rPr>
          <t xml:space="preserve">
-The input voltage UVLO turn-on is below </t>
        </r>
        <r>
          <rPr>
            <b/>
            <sz val="9"/>
            <color indexed="10"/>
            <rFont val="Tahoma"/>
            <family val="2"/>
          </rPr>
          <t xml:space="preserve">4.5V
</t>
        </r>
        <r>
          <rPr>
            <sz val="9"/>
            <color indexed="81"/>
            <rFont val="Tahoma"/>
            <family val="2"/>
          </rPr>
          <t>-The input voltage UVLO turn-off is below</t>
        </r>
        <r>
          <rPr>
            <b/>
            <sz val="9"/>
            <color indexed="10"/>
            <rFont val="Tahoma"/>
            <family val="2"/>
          </rPr>
          <t xml:space="preserve"> 3.5V
</t>
        </r>
        <r>
          <rPr>
            <b/>
            <sz val="9"/>
            <color indexed="39"/>
            <rFont val="Tahoma"/>
            <family val="2"/>
          </rPr>
          <t>If the internal UVLO is sufficient, connect EN to logic high or VIN.</t>
        </r>
      </text>
    </comment>
    <comment ref="F41" authorId="1">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no load, 25°C (used for FB resistor calculation)</t>
        </r>
      </text>
    </comment>
    <comment ref="F42" authorId="1">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full load, 25°C (used for power loss calculations)</t>
        </r>
      </text>
    </comment>
    <comment ref="F43" authorId="0">
      <text>
        <r>
          <rPr>
            <b/>
            <u/>
            <sz val="9"/>
            <color indexed="81"/>
            <rFont val="Tahoma"/>
            <family val="2"/>
          </rPr>
          <t>Estimated Thermal Impedance</t>
        </r>
        <r>
          <rPr>
            <b/>
            <sz val="9"/>
            <color indexed="81"/>
            <rFont val="Tahoma"/>
            <family val="2"/>
          </rPr>
          <t xml:space="preserve">:
</t>
        </r>
        <r>
          <rPr>
            <sz val="9"/>
            <color indexed="81"/>
            <rFont val="Tahoma"/>
            <family val="2"/>
          </rPr>
          <t xml:space="preserve">Enter the LM25180's junction-to-ambient thermal impedance, which relates to PCB copper weight and area for heatsinking, local ariflow rate, and other factors.
</t>
        </r>
      </text>
    </comment>
    <comment ref="F44" authorId="0">
      <text>
        <r>
          <rPr>
            <b/>
            <u/>
            <sz val="9"/>
            <color indexed="81"/>
            <rFont val="Tahoma"/>
            <family val="2"/>
          </rPr>
          <t>Ambient Operating Temperature</t>
        </r>
        <r>
          <rPr>
            <b/>
            <sz val="9"/>
            <color indexed="81"/>
            <rFont val="Tahoma"/>
            <family val="2"/>
          </rPr>
          <t xml:space="preserve">:
</t>
        </r>
        <r>
          <rPr>
            <sz val="9"/>
            <color indexed="81"/>
            <rFont val="Tahoma"/>
            <family val="2"/>
          </rPr>
          <t>Enter the LM25180's local ambient temperature (T</t>
        </r>
        <r>
          <rPr>
            <vertAlign val="subscript"/>
            <sz val="9"/>
            <color indexed="81"/>
            <rFont val="Tahoma"/>
            <family val="2"/>
          </rPr>
          <t>A</t>
        </r>
        <r>
          <rPr>
            <sz val="9"/>
            <color indexed="81"/>
            <rFont val="Tahoma"/>
            <family val="2"/>
          </rPr>
          <t xml:space="preserve">) here.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ambient temperature is below -40°C or above 150°C.</t>
        </r>
      </text>
    </comment>
    <comment ref="F46" authorId="0">
      <text>
        <r>
          <rPr>
            <b/>
            <u/>
            <sz val="9"/>
            <color indexed="81"/>
            <rFont val="Tahoma"/>
            <family val="2"/>
          </rPr>
          <t>Operating Junction Temperature</t>
        </r>
        <r>
          <rPr>
            <b/>
            <sz val="9"/>
            <color indexed="81"/>
            <rFont val="Tahoma"/>
            <family val="2"/>
          </rPr>
          <t xml:space="preserve">:
</t>
        </r>
        <r>
          <rPr>
            <sz val="9"/>
            <color indexed="81"/>
            <rFont val="Tahoma"/>
            <family val="2"/>
          </rPr>
          <t>Here is an estimate of the LM25180's opertaing junction temperature (T</t>
        </r>
        <r>
          <rPr>
            <vertAlign val="subscript"/>
            <sz val="9"/>
            <color indexed="81"/>
            <rFont val="Tahoma"/>
            <family val="2"/>
          </rPr>
          <t>J</t>
        </r>
        <r>
          <rPr>
            <sz val="9"/>
            <color indexed="81"/>
            <rFont val="Tahoma"/>
            <family val="2"/>
          </rPr>
          <t xml:space="preserve">) at full load and nominal input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calculated junction temperature is below -40°C or above 150°C.</t>
        </r>
      </text>
    </comment>
  </commentList>
</comments>
</file>

<file path=xl/comments2.xml><?xml version="1.0" encoding="utf-8"?>
<comments xmlns="http://schemas.openxmlformats.org/spreadsheetml/2006/main">
  <authors>
    <author>Timothy Hegarty</author>
  </authors>
  <commentList>
    <comment ref="A1" authorId="0">
      <text>
        <r>
          <rPr>
            <sz val="11"/>
            <color indexed="81"/>
            <rFont val="Tahoma"/>
            <family val="2"/>
          </rPr>
          <t>This efficiency calculator is aimed towards low current, COT-type architectures. Specifically, the "On Time" is programmed by the timing resistor, Rt. Meanwhile, the "Off Time" is determined by zero crossing of the inductor current crosses (in DCM) or when FB touches VREF (in CCM). In the DCM configuration, it is assumed that the effective switching frequency is proportional to output current.</t>
        </r>
      </text>
    </comment>
    <comment ref="G2" authorId="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software and urges all designs to be fully tested and carefully verified. Refer to the LM5165 product datasheet and EVM user guides for more details.
</t>
        </r>
        <r>
          <rPr>
            <b/>
            <sz val="9"/>
            <color indexed="81"/>
            <rFont val="Tahoma"/>
            <family val="2"/>
          </rPr>
          <t>Rev. 1, Timothy Hegarty, Texas Instruments, Inc.</t>
        </r>
      </text>
    </comment>
  </commentList>
</comments>
</file>

<file path=xl/sharedStrings.xml><?xml version="1.0" encoding="utf-8"?>
<sst xmlns="http://schemas.openxmlformats.org/spreadsheetml/2006/main" count="1280" uniqueCount="710">
  <si>
    <t>V</t>
  </si>
  <si>
    <t>A</t>
  </si>
  <si>
    <t>kHz</t>
  </si>
  <si>
    <t>Vin</t>
  </si>
  <si>
    <t>Vout</t>
  </si>
  <si>
    <t>Iout</t>
  </si>
  <si>
    <t>Value</t>
  </si>
  <si>
    <t>STD Units</t>
  </si>
  <si>
    <t>Hz</t>
  </si>
  <si>
    <t>Notes</t>
  </si>
  <si>
    <t>Nominal input voltage</t>
  </si>
  <si>
    <t>H</t>
  </si>
  <si>
    <t>Coutmin</t>
  </si>
  <si>
    <t>F</t>
  </si>
  <si>
    <t>Cout</t>
  </si>
  <si>
    <t>pF</t>
  </si>
  <si>
    <t>Pi</t>
  </si>
  <si>
    <t>Rfb2</t>
  </si>
  <si>
    <t>Vref</t>
  </si>
  <si>
    <t>Variable Name</t>
  </si>
  <si>
    <t>mΩ</t>
  </si>
  <si>
    <t>kΩ</t>
  </si>
  <si>
    <t>TERMS OF USE</t>
  </si>
  <si>
    <t>Currents</t>
  </si>
  <si>
    <t>IQ</t>
  </si>
  <si>
    <t>Step</t>
  </si>
  <si>
    <t>Design</t>
  </si>
  <si>
    <t>L</t>
  </si>
  <si>
    <t>Cin</t>
  </si>
  <si>
    <t>Components</t>
  </si>
  <si>
    <t>mA</t>
  </si>
  <si>
    <t>nC</t>
  </si>
  <si>
    <t>ns</t>
  </si>
  <si>
    <t>Units</t>
  </si>
  <si>
    <t>Outputs</t>
  </si>
  <si>
    <t>LTc</t>
  </si>
  <si>
    <t>Ta</t>
  </si>
  <si>
    <t>RCinEsr</t>
  </si>
  <si>
    <t>Tr</t>
  </si>
  <si>
    <t>Tf</t>
  </si>
  <si>
    <t>Ambient Temperature</t>
  </si>
  <si>
    <t>Description</t>
  </si>
  <si>
    <t>Input Parameters</t>
  </si>
  <si>
    <t>Input Value</t>
  </si>
  <si>
    <t>Power Dis</t>
  </si>
  <si>
    <t>W</t>
  </si>
  <si>
    <t>Temp rise</t>
  </si>
  <si>
    <t>Efficiency</t>
  </si>
  <si>
    <t>Duty Cycle</t>
  </si>
  <si>
    <t xml:space="preserve">IQ </t>
  </si>
  <si>
    <t>Quiescent Current Of Controller (Not Switching!)</t>
  </si>
  <si>
    <t>s</t>
  </si>
  <si>
    <t>Part Characteristics</t>
  </si>
  <si>
    <t>Rfb2_u</t>
  </si>
  <si>
    <t>CoutEsr</t>
  </si>
  <si>
    <t>Step 5: Input Capacitor</t>
  </si>
  <si>
    <t>nF</t>
  </si>
  <si>
    <t>VIN</t>
  </si>
  <si>
    <t>Icinrms</t>
  </si>
  <si>
    <t>= Input Box</t>
  </si>
  <si>
    <t>Input capacitance</t>
  </si>
  <si>
    <t>Step 1: Operational Specs</t>
  </si>
  <si>
    <t>Step 6: Soft Start</t>
  </si>
  <si>
    <t>ms</t>
  </si>
  <si>
    <t>Tss</t>
  </si>
  <si>
    <t>Iss</t>
  </si>
  <si>
    <t>Css</t>
  </si>
  <si>
    <t>Part Number</t>
  </si>
  <si>
    <t>Capacitors</t>
  </si>
  <si>
    <t>(pF)</t>
  </si>
  <si>
    <t>Standard Result</t>
  </si>
  <si>
    <t>Inputs</t>
  </si>
  <si>
    <t>Css_u</t>
  </si>
  <si>
    <t>Resistors</t>
  </si>
  <si>
    <t>inputs</t>
  </si>
  <si>
    <t>Cb</t>
  </si>
  <si>
    <t>Rs</t>
  </si>
  <si>
    <t xml:space="preserve">                </t>
  </si>
  <si>
    <t xml:space="preserve"> </t>
  </si>
  <si>
    <t>Rc1ea</t>
  </si>
  <si>
    <t>Blank out</t>
  </si>
  <si>
    <t>Input from user =</t>
  </si>
  <si>
    <t>Constant</t>
  </si>
  <si>
    <t>Step 8: Efficiency</t>
  </si>
  <si>
    <t>°C/W</t>
  </si>
  <si>
    <t>SCHEMATIC LABELS</t>
  </si>
  <si>
    <t>OUTPUT CURRENT</t>
  </si>
  <si>
    <t>Current (switching)</t>
  </si>
  <si>
    <t>Qrr Current</t>
  </si>
  <si>
    <t>Diode Current</t>
  </si>
  <si>
    <t>Std Units</t>
  </si>
  <si>
    <t>Total Application Switching IQ</t>
  </si>
  <si>
    <t>GND</t>
  </si>
  <si>
    <t>FB</t>
  </si>
  <si>
    <t>SW</t>
  </si>
  <si>
    <t>CIN</t>
  </si>
  <si>
    <t>µH</t>
  </si>
  <si>
    <t>µF</t>
  </si>
  <si>
    <t>Cinmin</t>
  </si>
  <si>
    <t>CinEsrMax</t>
  </si>
  <si>
    <t>Output =</t>
  </si>
  <si>
    <t>Step 1: Operating Specifications</t>
  </si>
  <si>
    <t>°C</t>
  </si>
  <si>
    <r>
      <t>mV</t>
    </r>
    <r>
      <rPr>
        <vertAlign val="subscript"/>
        <sz val="10"/>
        <rFont val="Arial"/>
        <family val="2"/>
      </rPr>
      <t>pk-pk</t>
    </r>
  </si>
  <si>
    <t xml:space="preserve">Input Capacitor ESR </t>
  </si>
  <si>
    <t>About</t>
  </si>
  <si>
    <t>xx</t>
  </si>
  <si>
    <t>Max ESR before ripple exceeds Vripple1</t>
  </si>
  <si>
    <t>Chosen ESR</t>
  </si>
  <si>
    <t>Input capacitance series resistance (ESR)</t>
  </si>
  <si>
    <r>
      <t>VIN</t>
    </r>
    <r>
      <rPr>
        <vertAlign val="subscript"/>
        <sz val="10"/>
        <rFont val="Arial"/>
        <family val="2"/>
      </rPr>
      <t>UVLO_ON</t>
    </r>
  </si>
  <si>
    <t>Rising UVLO/EN Threshold</t>
  </si>
  <si>
    <t>Falling UVLO/EN Threshold</t>
  </si>
  <si>
    <t>kΩ</t>
  </si>
  <si>
    <r>
      <t>VIN</t>
    </r>
    <r>
      <rPr>
        <vertAlign val="subscript"/>
        <sz val="10"/>
        <rFont val="Arial"/>
        <family val="2"/>
      </rPr>
      <t>UVLO_ON_ACTUAL</t>
    </r>
  </si>
  <si>
    <r>
      <t>VIN</t>
    </r>
    <r>
      <rPr>
        <vertAlign val="subscript"/>
        <sz val="10"/>
        <rFont val="Arial"/>
        <family val="2"/>
      </rPr>
      <t>UVLO_OFF_ACTUAL</t>
    </r>
  </si>
  <si>
    <t>Size</t>
  </si>
  <si>
    <t>MFR</t>
  </si>
  <si>
    <t>Std</t>
  </si>
  <si>
    <t>0603</t>
  </si>
  <si>
    <r>
      <t>C</t>
    </r>
    <r>
      <rPr>
        <vertAlign val="subscript"/>
        <sz val="10"/>
        <rFont val="Arial"/>
        <family val="2"/>
      </rPr>
      <t>IN</t>
    </r>
  </si>
  <si>
    <r>
      <t>C</t>
    </r>
    <r>
      <rPr>
        <vertAlign val="subscript"/>
        <sz val="10"/>
        <rFont val="Arial"/>
        <family val="2"/>
      </rPr>
      <t>OUT</t>
    </r>
  </si>
  <si>
    <t>Ref Des</t>
  </si>
  <si>
    <t>Count</t>
  </si>
  <si>
    <t>Various</t>
  </si>
  <si>
    <t>-</t>
  </si>
  <si>
    <r>
      <t>R</t>
    </r>
    <r>
      <rPr>
        <vertAlign val="subscript"/>
        <sz val="10"/>
        <rFont val="Arial"/>
        <family val="2"/>
      </rPr>
      <t>UV1</t>
    </r>
  </si>
  <si>
    <r>
      <t>R</t>
    </r>
    <r>
      <rPr>
        <vertAlign val="subscript"/>
        <sz val="10"/>
        <rFont val="Arial"/>
        <family val="2"/>
      </rPr>
      <t>UV2</t>
    </r>
  </si>
  <si>
    <r>
      <t>U</t>
    </r>
    <r>
      <rPr>
        <b/>
        <vertAlign val="subscript"/>
        <sz val="10"/>
        <rFont val="Arial"/>
        <family val="2"/>
      </rPr>
      <t>1</t>
    </r>
  </si>
  <si>
    <t>Rpgood</t>
  </si>
  <si>
    <t>Ruv1</t>
  </si>
  <si>
    <t>Ruv2</t>
  </si>
  <si>
    <t># of input caps</t>
  </si>
  <si>
    <t>Capacitance per component (Cin)</t>
  </si>
  <si>
    <t>Capacitance per component (Cout)</t>
  </si>
  <si>
    <t># of output caps</t>
  </si>
  <si>
    <t>Ω</t>
  </si>
  <si>
    <r>
      <rPr>
        <b/>
        <u/>
        <sz val="10"/>
        <rFont val="Arial"/>
        <family val="2"/>
      </rPr>
      <t>NOTES</t>
    </r>
    <r>
      <rPr>
        <b/>
        <sz val="10"/>
        <rFont val="Arial"/>
        <family val="2"/>
      </rPr>
      <t>:</t>
    </r>
  </si>
  <si>
    <t>%/°C</t>
  </si>
  <si>
    <t>Rt</t>
  </si>
  <si>
    <r>
      <t>Output Capacitance, C</t>
    </r>
    <r>
      <rPr>
        <b/>
        <vertAlign val="subscript"/>
        <sz val="10"/>
        <rFont val="Arial"/>
        <family val="2"/>
      </rPr>
      <t>OUT</t>
    </r>
    <r>
      <rPr>
        <b/>
        <sz val="10"/>
        <rFont val="Arial"/>
        <family val="2"/>
      </rPr>
      <t xml:space="preserve"> </t>
    </r>
  </si>
  <si>
    <r>
      <t>Input Capacitance, C</t>
    </r>
    <r>
      <rPr>
        <b/>
        <vertAlign val="subscript"/>
        <sz val="10"/>
        <color theme="1"/>
        <rFont val="Arial"/>
        <family val="2"/>
      </rPr>
      <t>IN</t>
    </r>
    <r>
      <rPr>
        <b/>
        <sz val="10"/>
        <color theme="1"/>
        <rFont val="Arial"/>
        <family val="2"/>
      </rPr>
      <t xml:space="preserve"> </t>
    </r>
  </si>
  <si>
    <r>
      <t>Soft-Start Capacitance, C</t>
    </r>
    <r>
      <rPr>
        <vertAlign val="subscript"/>
        <sz val="10"/>
        <rFont val="Arial"/>
        <family val="2"/>
      </rPr>
      <t>SS</t>
    </r>
    <r>
      <rPr>
        <sz val="10"/>
        <rFont val="Arial"/>
        <family val="2"/>
      </rPr>
      <t xml:space="preserve"> </t>
    </r>
  </si>
  <si>
    <t>VIN_nom</t>
  </si>
  <si>
    <t>VIN_max</t>
  </si>
  <si>
    <t>VIN_min</t>
  </si>
  <si>
    <t>Minimum input voltage</t>
  </si>
  <si>
    <t>Maximum input voltage</t>
  </si>
  <si>
    <t>Voltage Hysteresis</t>
  </si>
  <si>
    <t>mV</t>
  </si>
  <si>
    <t>Don_Vinmin</t>
  </si>
  <si>
    <t>Don_Vinmax</t>
  </si>
  <si>
    <t>Lf</t>
  </si>
  <si>
    <t>Pout</t>
  </si>
  <si>
    <t>Iin_Vinmin</t>
  </si>
  <si>
    <t>Iin_Vinnom</t>
  </si>
  <si>
    <t>Iin_Vinmax</t>
  </si>
  <si>
    <t>Pin</t>
  </si>
  <si>
    <t>Don_Vinnom</t>
  </si>
  <si>
    <t>Output power</t>
  </si>
  <si>
    <t>Input currents at min, nom, max Vin</t>
  </si>
  <si>
    <t>Cslope_ideal</t>
  </si>
  <si>
    <t>mΩ</t>
  </si>
  <si>
    <t>Rshunt</t>
  </si>
  <si>
    <t>Output Cap RMS current</t>
  </si>
  <si>
    <t>Icoutrms_VINmin</t>
  </si>
  <si>
    <t>Icoutrms_VINnom</t>
  </si>
  <si>
    <t>Icoutrms_VINmax</t>
  </si>
  <si>
    <t>Chosen Output Capacitance</t>
  </si>
  <si>
    <t>Rout</t>
  </si>
  <si>
    <t>Load resistance</t>
  </si>
  <si>
    <t>p</t>
  </si>
  <si>
    <t>EXCEL Variables Names/Calculations</t>
  </si>
  <si>
    <t>IC Power Disipation</t>
  </si>
  <si>
    <t>Iteration</t>
  </si>
  <si>
    <t>Output Ripple Spec (pk-pk)</t>
  </si>
  <si>
    <t>Estimate of efficiency</t>
  </si>
  <si>
    <t>Soft-start time</t>
  </si>
  <si>
    <r>
      <rPr>
        <sz val="10"/>
        <rFont val="Calibri"/>
        <family val="2"/>
      </rPr>
      <t>θ</t>
    </r>
    <r>
      <rPr>
        <vertAlign val="subscript"/>
        <sz val="10"/>
        <rFont val="Arial"/>
        <family val="2"/>
      </rPr>
      <t>CA</t>
    </r>
  </si>
  <si>
    <t>Input Capacitor ESR</t>
  </si>
  <si>
    <t>RESULTS</t>
  </si>
  <si>
    <t>Reported Cinmin</t>
  </si>
  <si>
    <t>Reported Cout ESR max</t>
  </si>
  <si>
    <t>Reported Cin ESR max</t>
  </si>
  <si>
    <t>Full-load efficiency</t>
  </si>
  <si>
    <t>sec</t>
  </si>
  <si>
    <t>Toff_Vinmax</t>
  </si>
  <si>
    <t>Ton_Vinmin</t>
  </si>
  <si>
    <t>VIN range</t>
  </si>
  <si>
    <t>Current Limit</t>
  </si>
  <si>
    <t>Miscellaneous</t>
  </si>
  <si>
    <t>Inductor</t>
  </si>
  <si>
    <t xml:space="preserve">High-side MOSFET Losses </t>
  </si>
  <si>
    <t xml:space="preserve">Low-side MOSFET Losses </t>
  </si>
  <si>
    <t>Diode</t>
  </si>
  <si>
    <t>Iout (A)</t>
  </si>
  <si>
    <t>Ripple Current pk-pk (A)</t>
  </si>
  <si>
    <t>Off Time (sec)</t>
  </si>
  <si>
    <t>Switching Frequency (Hz)</t>
  </si>
  <si>
    <t>Active Mode Duration (sec)</t>
  </si>
  <si>
    <t>Sleep Mode Duration (sec)</t>
  </si>
  <si>
    <t>Irms (A)</t>
  </si>
  <si>
    <t>Inductor DCR Loss @ 25°C (W)</t>
  </si>
  <si>
    <t>Inductor Core Loss  (W)</t>
  </si>
  <si>
    <t>Total Inductor Loss (W)</t>
  </si>
  <si>
    <t>Cout ESR Loss (W)</t>
  </si>
  <si>
    <t>Total Cout Loss (W)</t>
  </si>
  <si>
    <t>Cin ESR Loss (W)</t>
  </si>
  <si>
    <t>Total Cin Loss (W)</t>
  </si>
  <si>
    <t>Rdson HS Loss @ 25°C (W)</t>
  </si>
  <si>
    <t xml:space="preserve">HS Gate Qg Loss (W)     </t>
  </si>
  <si>
    <t>HS Switching  Loss (W)</t>
  </si>
  <si>
    <t>Coss Loss (W)</t>
  </si>
  <si>
    <t>Total HS FET Loss (W)</t>
  </si>
  <si>
    <t>Rdson LS Loss @ 25°C (W)</t>
  </si>
  <si>
    <t>LS Gate Qg Loss (W)</t>
  </si>
  <si>
    <t>Reverse Recovery &amp; Leakage Losses</t>
  </si>
  <si>
    <t>DeadTime Loss @ 25°C (W)</t>
  </si>
  <si>
    <t>Total LS FET Loss (W)</t>
  </si>
  <si>
    <t>Quiescent Loss (W)</t>
  </si>
  <si>
    <t>LDO + Quiescent Loss (W)</t>
  </si>
  <si>
    <t>Total Gate Drive Loss (W)</t>
  </si>
  <si>
    <t>Total Power Loss in IC (W)</t>
  </si>
  <si>
    <t>Total Converter Power Loss (W)</t>
  </si>
  <si>
    <t>Pout (W)</t>
  </si>
  <si>
    <t>EFF (%)</t>
  </si>
  <si>
    <t>High-side MOSFET Rdson %</t>
  </si>
  <si>
    <t>Low-side MOSFET Rdson %</t>
  </si>
  <si>
    <t>Gate Drive (Qg) Loss from Vin %</t>
  </si>
  <si>
    <t>High-side MOSFET Switching Loss %</t>
  </si>
  <si>
    <t>Reverse Recovery &amp; Leakage Loss %</t>
  </si>
  <si>
    <t>Deadtime Loss %</t>
  </si>
  <si>
    <t>Inductor Cu Loss %</t>
  </si>
  <si>
    <t>Inductor Core Loss %</t>
  </si>
  <si>
    <t>Cin Cout ESR %</t>
  </si>
  <si>
    <t>Quiescent Current Loss %</t>
  </si>
  <si>
    <t>Total Loss %</t>
  </si>
  <si>
    <t>Overall Eff</t>
  </si>
  <si>
    <t>Current (mA)</t>
  </si>
  <si>
    <t>Keep for "previous" data series</t>
  </si>
  <si>
    <t>Frequency (kHz)</t>
  </si>
  <si>
    <t>Coss</t>
  </si>
  <si>
    <t>Iout(max)</t>
  </si>
  <si>
    <r>
      <rPr>
        <sz val="10"/>
        <rFont val="Arial"/>
        <family val="2"/>
      </rPr>
      <t>k</t>
    </r>
    <r>
      <rPr>
        <sz val="10"/>
        <rFont val="Symbol"/>
        <family val="1"/>
        <charset val="2"/>
      </rPr>
      <t>W</t>
    </r>
  </si>
  <si>
    <t>Tamb</t>
  </si>
  <si>
    <t>Ambient temperature</t>
  </si>
  <si>
    <t>VDD</t>
  </si>
  <si>
    <t>On-Time</t>
  </si>
  <si>
    <t>µs</t>
  </si>
  <si>
    <t>On Time - fixed</t>
  </si>
  <si>
    <t>Off Time</t>
  </si>
  <si>
    <t>Off Time - depends on Vout, L, Iout, DCR, etc.</t>
  </si>
  <si>
    <r>
      <rPr>
        <sz val="10"/>
        <rFont val="Symbol"/>
        <family val="1"/>
        <charset val="2"/>
      </rPr>
      <t>D</t>
    </r>
    <r>
      <rPr>
        <sz val="10"/>
        <rFont val="Arial"/>
        <family val="2"/>
      </rPr>
      <t>I</t>
    </r>
    <r>
      <rPr>
        <vertAlign val="subscript"/>
        <sz val="10"/>
        <rFont val="Arial"/>
        <family val="2"/>
      </rPr>
      <t>L</t>
    </r>
  </si>
  <si>
    <t>Inductor pk-pk ripple current in CCM</t>
  </si>
  <si>
    <t>CCM Freq</t>
  </si>
  <si>
    <t>Frequency in CCM</t>
  </si>
  <si>
    <t>Switch rise time</t>
  </si>
  <si>
    <t>Switch fall time</t>
  </si>
  <si>
    <t>Filter inductance</t>
  </si>
  <si>
    <r>
      <rPr>
        <sz val="10"/>
        <rFont val="Arial"/>
        <family val="2"/>
      </rPr>
      <t>m</t>
    </r>
    <r>
      <rPr>
        <sz val="10"/>
        <rFont val="Symbol"/>
        <family val="1"/>
        <charset val="2"/>
      </rPr>
      <t>W</t>
    </r>
  </si>
  <si>
    <t>Kcore</t>
  </si>
  <si>
    <t>RCinESR</t>
  </si>
  <si>
    <t>Input capacitor ESR</t>
  </si>
  <si>
    <t>Output capacitance</t>
  </si>
  <si>
    <t>RCoutESR</t>
  </si>
  <si>
    <t>Output capacitor ESR</t>
  </si>
  <si>
    <t>µA</t>
  </si>
  <si>
    <t>FOM</t>
  </si>
  <si>
    <r>
      <t>m</t>
    </r>
    <r>
      <rPr>
        <sz val="10"/>
        <rFont val="Times New Roman"/>
        <family val="1"/>
      </rPr>
      <t>Ω*</t>
    </r>
    <r>
      <rPr>
        <sz val="10"/>
        <rFont val="Arial"/>
        <family val="2"/>
      </rPr>
      <t>nC</t>
    </r>
  </si>
  <si>
    <t>BDserR</t>
  </si>
  <si>
    <t>Series resistance of body diode</t>
  </si>
  <si>
    <t>Reverse recovery charge of body diode at 100mA</t>
  </si>
  <si>
    <t>Reverse recovery time of body diode (not used)</t>
  </si>
  <si>
    <t>μA</t>
  </si>
  <si>
    <t>Leakage current of low-side device</t>
  </si>
  <si>
    <t>Eff (%)</t>
  </si>
  <si>
    <t>Iout (mA)</t>
  </si>
  <si>
    <t>min_I</t>
  </si>
  <si>
    <t>max_I</t>
  </si>
  <si>
    <t>100mA</t>
  </si>
  <si>
    <t>rr</t>
  </si>
  <si>
    <t>1mA</t>
  </si>
  <si>
    <t>Overall Eff %</t>
  </si>
  <si>
    <t>Total Inductor Loss (mW)</t>
  </si>
  <si>
    <t>Total Power Loss in IC (mW)</t>
  </si>
  <si>
    <t>LDO + Quiescent Loss (mW)</t>
  </si>
  <si>
    <t>Vdd</t>
  </si>
  <si>
    <t>MODE</t>
  </si>
  <si>
    <t>MODE_ILIM</t>
  </si>
  <si>
    <t>MODE_SS</t>
  </si>
  <si>
    <t>COT / PFM Overall Eff</t>
  </si>
  <si>
    <t>COT / PFM Total Inductor Loss (mW)</t>
  </si>
  <si>
    <t>COT / PFM LDO + Quiescent Loss (mW)</t>
  </si>
  <si>
    <t>Soft-Start Configuration</t>
  </si>
  <si>
    <t>mW</t>
  </si>
  <si>
    <r>
      <t>Lower UVLO Resistor, R</t>
    </r>
    <r>
      <rPr>
        <vertAlign val="subscript"/>
        <sz val="10"/>
        <rFont val="Arial"/>
        <family val="2"/>
      </rPr>
      <t>UV2</t>
    </r>
  </si>
  <si>
    <r>
      <t>VIN</t>
    </r>
    <r>
      <rPr>
        <vertAlign val="subscript"/>
        <sz val="10"/>
        <rFont val="Arial"/>
        <family val="2"/>
      </rPr>
      <t>UVLO_OFF</t>
    </r>
  </si>
  <si>
    <t>Rhys</t>
  </si>
  <si>
    <t>Soft Start</t>
  </si>
  <si>
    <t>Step 3: Input &amp; Output Capacitors</t>
  </si>
  <si>
    <t>PLOT_TYPE</t>
  </si>
  <si>
    <t>FB resistor ref des shown or not?</t>
  </si>
  <si>
    <t>SHORT_ILIM</t>
  </si>
  <si>
    <t>ILIM pin shorted if 240mA selected</t>
  </si>
  <si>
    <t>ILIM resistor needed (60/120/180mA)</t>
  </si>
  <si>
    <t>Show Rt resistor ref des?</t>
  </si>
  <si>
    <r>
      <t xml:space="preserve">Estimated Thermal Impedance, </t>
    </r>
    <r>
      <rPr>
        <b/>
        <sz val="11"/>
        <rFont val="Symbol"/>
        <family val="1"/>
        <charset val="2"/>
      </rPr>
      <t>J</t>
    </r>
    <r>
      <rPr>
        <b/>
        <vertAlign val="subscript"/>
        <sz val="10"/>
        <rFont val="Arial"/>
        <family val="2"/>
      </rPr>
      <t>JA</t>
    </r>
  </si>
  <si>
    <t>Input UVLO Configuration</t>
  </si>
  <si>
    <t>MODE_UVLO</t>
  </si>
  <si>
    <t>Adjustable UVLO?</t>
  </si>
  <si>
    <t>Soft-start current</t>
  </si>
  <si>
    <t>10% load efficiency</t>
  </si>
  <si>
    <t>Required soft-start cap</t>
  </si>
  <si>
    <t>User selected SS cap</t>
  </si>
  <si>
    <t>100kΩ</t>
  </si>
  <si>
    <t>1% load efficiency</t>
  </si>
  <si>
    <t>linear scale only</t>
  </si>
  <si>
    <t>log scale only</t>
  </si>
  <si>
    <t xml:space="preserve">Minimum Input Capacitance </t>
  </si>
  <si>
    <t>Terms Of Use</t>
  </si>
  <si>
    <r>
      <rPr>
        <b/>
        <sz val="10"/>
        <rFont val="Arial"/>
        <family val="2"/>
      </rPr>
      <t>Iout</t>
    </r>
    <r>
      <rPr>
        <sz val="10"/>
        <rFont val="Arial"/>
        <family val="2"/>
      </rPr>
      <t xml:space="preserve"> Linear Axis</t>
    </r>
  </si>
  <si>
    <r>
      <rPr>
        <b/>
        <sz val="10"/>
        <rFont val="Arial"/>
        <family val="2"/>
      </rPr>
      <t>Iout</t>
    </r>
    <r>
      <rPr>
        <sz val="10"/>
        <rFont val="Arial"/>
        <family val="2"/>
      </rPr>
      <t xml:space="preserve"> Log Axis</t>
    </r>
  </si>
  <si>
    <t>UVLO</t>
  </si>
  <si>
    <t>n</t>
  </si>
  <si>
    <r>
      <t>Pk-to-Pk Ripple Current at V</t>
    </r>
    <r>
      <rPr>
        <vertAlign val="subscript"/>
        <sz val="10"/>
        <rFont val="Arial"/>
        <family val="2"/>
      </rPr>
      <t>IN(nom)</t>
    </r>
    <r>
      <rPr>
        <sz val="10"/>
        <rFont val="Arial"/>
        <family val="2"/>
      </rPr>
      <t xml:space="preserve">, </t>
    </r>
    <r>
      <rPr>
        <sz val="10"/>
        <rFont val="Symbol"/>
        <family val="1"/>
        <charset val="2"/>
      </rPr>
      <t>D</t>
    </r>
    <r>
      <rPr>
        <sz val="10"/>
        <rFont val="Arial"/>
        <family val="2"/>
      </rPr>
      <t>IL</t>
    </r>
  </si>
  <si>
    <t>SW Fall Time (ns)</t>
  </si>
  <si>
    <t>Peak Current (A)</t>
  </si>
  <si>
    <t>Valley Current (A)</t>
  </si>
  <si>
    <t>SW Rise Time (ns)</t>
  </si>
  <si>
    <t>Csw</t>
  </si>
  <si>
    <t>Capacitance (Coss)</t>
  </si>
  <si>
    <t>Operating Quiescent Current (A)</t>
  </si>
  <si>
    <t>6.3V</t>
  </si>
  <si>
    <t>10V</t>
  </si>
  <si>
    <t>16V</t>
  </si>
  <si>
    <t>25V</t>
  </si>
  <si>
    <t>Cout Voltage Rating</t>
  </si>
  <si>
    <t>Vout&lt;=5V</t>
  </si>
  <si>
    <t>Vout&lt;=20V</t>
  </si>
  <si>
    <t>Vout&lt;=8V</t>
  </si>
  <si>
    <t>Vout&lt;=12V</t>
  </si>
  <si>
    <t>50V</t>
  </si>
  <si>
    <t>Vout&gt;20V</t>
  </si>
  <si>
    <t>BOM display</t>
  </si>
  <si>
    <t>COT / PFM Total Power Loss in IC (mW)</t>
  </si>
  <si>
    <t>0402</t>
  </si>
  <si>
    <t>0805</t>
  </si>
  <si>
    <t>1206</t>
  </si>
  <si>
    <t>1210</t>
  </si>
  <si>
    <t>Component Size</t>
  </si>
  <si>
    <t>Footprint (mm)</t>
  </si>
  <si>
    <t>1.0 x 0.5</t>
  </si>
  <si>
    <t>6mm x 6mm</t>
  </si>
  <si>
    <t>7mm x 7mm</t>
  </si>
  <si>
    <t>3.2 x 1.6</t>
  </si>
  <si>
    <t>1.6 x 0.8</t>
  </si>
  <si>
    <t>2.0 x 1.25</t>
  </si>
  <si>
    <t>3.2 x 2.5</t>
  </si>
  <si>
    <t>4.0 x 4.0</t>
  </si>
  <si>
    <r>
      <t>Area (mm</t>
    </r>
    <r>
      <rPr>
        <b/>
        <vertAlign val="superscript"/>
        <sz val="10"/>
        <color theme="0"/>
        <rFont val="Arial"/>
        <family val="2"/>
      </rPr>
      <t>2</t>
    </r>
    <r>
      <rPr>
        <b/>
        <sz val="10"/>
        <color theme="0"/>
        <rFont val="Arial"/>
        <family val="2"/>
      </rPr>
      <t>)</t>
    </r>
  </si>
  <si>
    <t>TI</t>
  </si>
  <si>
    <r>
      <t>in</t>
    </r>
    <r>
      <rPr>
        <b/>
        <vertAlign val="superscript"/>
        <sz val="12"/>
        <color rgb="FFFF0000"/>
        <rFont val="Arial"/>
        <family val="2"/>
      </rPr>
      <t>2</t>
    </r>
  </si>
  <si>
    <t>Total Solution Size (buffered by 25%)</t>
  </si>
  <si>
    <t>** Appropriately derate effective input and output capacitances for applied voltage and temperature, particularly with ceramics **</t>
  </si>
  <si>
    <r>
      <t>mm</t>
    </r>
    <r>
      <rPr>
        <b/>
        <vertAlign val="superscript"/>
        <sz val="12"/>
        <color rgb="FFFF0000"/>
        <rFont val="Arial"/>
        <family val="2"/>
      </rPr>
      <t>2</t>
    </r>
    <r>
      <rPr>
        <b/>
        <sz val="12"/>
        <color rgb="FFFF0000"/>
        <rFont val="Arial"/>
        <family val="2"/>
      </rPr>
      <t xml:space="preserve">  =</t>
    </r>
  </si>
  <si>
    <t>Std Value Lower Feedback Resistance</t>
  </si>
  <si>
    <t>Step 2: Flyback Transformer</t>
  </si>
  <si>
    <t>SINGLE/DUAL OUTPUT</t>
  </si>
  <si>
    <t>SINGLE</t>
  </si>
  <si>
    <t>DUAL</t>
  </si>
  <si>
    <t>YES</t>
  </si>
  <si>
    <t>NO</t>
  </si>
  <si>
    <r>
      <t>Magnetizing Inductance, L</t>
    </r>
    <r>
      <rPr>
        <b/>
        <vertAlign val="subscript"/>
        <sz val="10"/>
        <color theme="1"/>
        <rFont val="Arial"/>
        <family val="2"/>
      </rPr>
      <t>MAG</t>
    </r>
    <r>
      <rPr>
        <b/>
        <sz val="10"/>
        <color theme="1"/>
        <rFont val="Arial"/>
        <family val="2"/>
      </rPr>
      <t xml:space="preserve"> </t>
    </r>
  </si>
  <si>
    <t>Single Output or Dual Outputs</t>
  </si>
  <si>
    <r>
      <t>Input Voltage – Min, V</t>
    </r>
    <r>
      <rPr>
        <b/>
        <vertAlign val="subscript"/>
        <sz val="10"/>
        <color theme="1"/>
        <rFont val="Arial"/>
        <family val="2"/>
      </rPr>
      <t>IN(min)</t>
    </r>
    <r>
      <rPr>
        <b/>
        <sz val="10"/>
        <color theme="1"/>
        <rFont val="Arial"/>
        <family val="2"/>
      </rPr>
      <t xml:space="preserve"> </t>
    </r>
  </si>
  <si>
    <r>
      <t>Input Voltage – Nom, V</t>
    </r>
    <r>
      <rPr>
        <b/>
        <vertAlign val="subscript"/>
        <sz val="10"/>
        <color theme="1"/>
        <rFont val="Arial"/>
        <family val="2"/>
      </rPr>
      <t>IN(nom)</t>
    </r>
  </si>
  <si>
    <r>
      <t>Input Voltage – Max, V</t>
    </r>
    <r>
      <rPr>
        <b/>
        <vertAlign val="subscript"/>
        <sz val="10"/>
        <color theme="1"/>
        <rFont val="Arial"/>
        <family val="2"/>
      </rPr>
      <t>IN(max)</t>
    </r>
  </si>
  <si>
    <r>
      <t>Selected Feedback Resistor, R</t>
    </r>
    <r>
      <rPr>
        <b/>
        <vertAlign val="subscript"/>
        <sz val="10"/>
        <rFont val="Arial"/>
        <family val="2"/>
      </rPr>
      <t>FB</t>
    </r>
  </si>
  <si>
    <t>Recommended Feedback Resistor</t>
  </si>
  <si>
    <t>Current Hysteresis</t>
  </si>
  <si>
    <t>Current after UVLO (rising)</t>
  </si>
  <si>
    <t>Current before UVLO (rising)</t>
  </si>
  <si>
    <r>
      <t>Upper UVLO Resistor, R</t>
    </r>
    <r>
      <rPr>
        <vertAlign val="subscript"/>
        <sz val="10"/>
        <rFont val="Arial"/>
        <family val="2"/>
      </rPr>
      <t>UV1</t>
    </r>
  </si>
  <si>
    <t>12.1 kΩ</t>
  </si>
  <si>
    <t>Show TC resistor ref des?</t>
  </si>
  <si>
    <t>TC YES/NO</t>
  </si>
  <si>
    <t>MODE_TC</t>
  </si>
  <si>
    <t>Rtc</t>
  </si>
  <si>
    <t>RSET resistor</t>
  </si>
  <si>
    <t>SS Cap</t>
  </si>
  <si>
    <t>mV/°C</t>
  </si>
  <si>
    <t>VOUT Thermal Compensation</t>
  </si>
  <si>
    <r>
      <t>Thermal Compensation Resistor, R</t>
    </r>
    <r>
      <rPr>
        <vertAlign val="subscript"/>
        <sz val="10"/>
        <rFont val="Arial"/>
        <family val="2"/>
      </rPr>
      <t>TC</t>
    </r>
  </si>
  <si>
    <t>Step 4: Feedback, Soft-start, TC, UVLO</t>
  </si>
  <si>
    <t>FB resistor</t>
  </si>
  <si>
    <t>Turns Ratio</t>
  </si>
  <si>
    <t>Rdcr_pri</t>
  </si>
  <si>
    <t>Rfb</t>
  </si>
  <si>
    <r>
      <t>Internal P</t>
    </r>
    <r>
      <rPr>
        <vertAlign val="subscript"/>
        <sz val="10"/>
        <rFont val="Arial"/>
        <family val="2"/>
      </rPr>
      <t>DISS</t>
    </r>
    <r>
      <rPr>
        <sz val="10"/>
        <rFont val="Arial"/>
        <family val="2"/>
      </rPr>
      <t xml:space="preserve"> at Full Load</t>
    </r>
  </si>
  <si>
    <t>Turns_Ratio</t>
  </si>
  <si>
    <t>Transformer Turns Ratio</t>
  </si>
  <si>
    <t>Schematic variable defined:</t>
  </si>
  <si>
    <t>Flyback MOSFET</t>
  </si>
  <si>
    <t>Rdson</t>
  </si>
  <si>
    <t>Qg</t>
  </si>
  <si>
    <t>Converter</t>
  </si>
  <si>
    <t>Gate charge of MOSFET @ VDD</t>
  </si>
  <si>
    <t>Drain-source resistance of MOSFET @ VDD, 25°C</t>
  </si>
  <si>
    <t>Flyback Diode</t>
  </si>
  <si>
    <t>Peak switch current</t>
  </si>
  <si>
    <t>Isw_max</t>
  </si>
  <si>
    <t>Qrr_Dfly</t>
  </si>
  <si>
    <t>Trr_Dfly</t>
  </si>
  <si>
    <t>Pout-max (W)</t>
  </si>
  <si>
    <t>Iout-max (A)</t>
  </si>
  <si>
    <t>Pout-max (W) at Vin-nom</t>
  </si>
  <si>
    <t>Iout-max (A) at Vin-nom</t>
  </si>
  <si>
    <t>Vsw-max (V) at Vin-nom</t>
  </si>
  <si>
    <t>Isw_min</t>
  </si>
  <si>
    <t>Min peak switch current</t>
  </si>
  <si>
    <t>Efficiency estimate</t>
  </si>
  <si>
    <t>Fsw_max</t>
  </si>
  <si>
    <t>Max Fsw</t>
  </si>
  <si>
    <t>Vin (V)</t>
  </si>
  <si>
    <t>Vsw-max (V)</t>
  </si>
  <si>
    <t>Isw (A)</t>
  </si>
  <si>
    <t>Ton-BCM (us)</t>
  </si>
  <si>
    <t>Toff-BCM (us)</t>
  </si>
  <si>
    <t>Ipri-min-BCM (A)</t>
  </si>
  <si>
    <t>Vout-Reflected (V)</t>
  </si>
  <si>
    <t>Fsw-BCM (kHz) at Iout-max</t>
  </si>
  <si>
    <t>Fsw-max-BCM (kHz)</t>
  </si>
  <si>
    <t>Voltages</t>
  </si>
  <si>
    <t>Toff-min-BCM (us)</t>
  </si>
  <si>
    <t>Iout-min-BCM (A)</t>
  </si>
  <si>
    <t>Toff-FFB (us)</t>
  </si>
  <si>
    <t xml:space="preserve">Fsw-BCM (kHz) </t>
  </si>
  <si>
    <t>Fsw-FFB (kHz)</t>
  </si>
  <si>
    <t>Iout-max-FFB (A)</t>
  </si>
  <si>
    <t>Fsw_DCM</t>
  </si>
  <si>
    <t>Ipri-DCM (A)</t>
  </si>
  <si>
    <t>Ipri (A)</t>
  </si>
  <si>
    <t>COMP (V)</t>
  </si>
  <si>
    <t>Fsw (kHz)</t>
  </si>
  <si>
    <t>Vout-actual (V)</t>
  </si>
  <si>
    <t>VIN-min</t>
  </si>
  <si>
    <t>VIN-max</t>
  </si>
  <si>
    <t>Vout_ripple</t>
  </si>
  <si>
    <t>Actual Output Ripple</t>
  </si>
  <si>
    <t>Ton at Full Load, Vin-nom</t>
  </si>
  <si>
    <t>Input voltage ripple spec (pk-pk) at Vin(nom) = 5%</t>
  </si>
  <si>
    <t>Input voltage ripple - Vinripple2</t>
  </si>
  <si>
    <t>Input current, full load, Vin(nom)</t>
  </si>
  <si>
    <t>Toff, Vin(nom)</t>
  </si>
  <si>
    <t>mVpk-pk</t>
  </si>
  <si>
    <t>Vpk-pk</t>
  </si>
  <si>
    <t>Peak primary current, full load, Vin(nom)</t>
  </si>
  <si>
    <t>Vinripple2</t>
  </si>
  <si>
    <t>Nps</t>
  </si>
  <si>
    <t>Rdcr_sec</t>
  </si>
  <si>
    <t>Rdcr_sec2</t>
  </si>
  <si>
    <t>Primary winding DCR</t>
  </si>
  <si>
    <t>Secondary winding DCR</t>
  </si>
  <si>
    <t>Chosen mag inductance</t>
  </si>
  <si>
    <t>Transformer Size</t>
  </si>
  <si>
    <t>1% Vout ripple spec</t>
  </si>
  <si>
    <t>Calculate input power assuming initial efficiency estimate</t>
  </si>
  <si>
    <t>Ipri-rms (A)</t>
  </si>
  <si>
    <t>Isec-rms (A)</t>
  </si>
  <si>
    <t>PCu-pri (W)</t>
  </si>
  <si>
    <t>PCu-sec (W)</t>
  </si>
  <si>
    <t>On/Off Times and Eff Duty Cycle</t>
  </si>
  <si>
    <t>Ton (µs)</t>
  </si>
  <si>
    <t>Toff (µs)</t>
  </si>
  <si>
    <t>Toff-FFB (µs)</t>
  </si>
  <si>
    <t>Toff-min-BCM (µs)</t>
  </si>
  <si>
    <t>Toff-BCM (µs)</t>
  </si>
  <si>
    <t>Ton-BCM (µs)</t>
  </si>
  <si>
    <t>Tsw (µs)</t>
  </si>
  <si>
    <t>Core Loss (W)</t>
  </si>
  <si>
    <t>P-FET-Coss (W)</t>
  </si>
  <si>
    <t>Cin / Cout</t>
  </si>
  <si>
    <t>RMS Currents</t>
  </si>
  <si>
    <t>Effective SW node capacitance (Ctr + Cdiode_refl)</t>
  </si>
  <si>
    <t>P-FET-Qg (W)</t>
  </si>
  <si>
    <t>P-FET-Cond (W)</t>
  </si>
  <si>
    <t>P-FET-Sw (W)</t>
  </si>
  <si>
    <t>P-Diode-Cond (W)</t>
  </si>
  <si>
    <t>P-Diode-Leak (W)</t>
  </si>
  <si>
    <r>
      <t>P-I</t>
    </r>
    <r>
      <rPr>
        <b/>
        <vertAlign val="subscript"/>
        <sz val="10"/>
        <rFont val="Arial"/>
        <family val="2"/>
      </rPr>
      <t>Q</t>
    </r>
    <r>
      <rPr>
        <b/>
        <sz val="10"/>
        <rFont val="Arial"/>
        <family val="2"/>
      </rPr>
      <t xml:space="preserve"> (W)</t>
    </r>
  </si>
  <si>
    <t>Core loss constant - consult transformer vendor</t>
  </si>
  <si>
    <t>Transformer primary winding DCR at 25°C</t>
  </si>
  <si>
    <t>LM5180 quiescent current</t>
  </si>
  <si>
    <t>Cout (µF) for 1% ripple</t>
  </si>
  <si>
    <t>Cin (µF) for 10% ripple</t>
  </si>
  <si>
    <t>P-Loss-Total (W)</t>
  </si>
  <si>
    <t>P-Diode-Snubber (W)</t>
  </si>
  <si>
    <t>P-LeakL-Clamp/Snub (W)</t>
  </si>
  <si>
    <t>Efficiency (%)</t>
  </si>
  <si>
    <t>P-Trans-Total (W)</t>
  </si>
  <si>
    <t>P-Diode-Total (W)</t>
  </si>
  <si>
    <t>I_LEAK</t>
  </si>
  <si>
    <t>Flyback Diode Loss</t>
  </si>
  <si>
    <t>Transformer Loss</t>
  </si>
  <si>
    <t>P-IC-Total (mW)</t>
  </si>
  <si>
    <t>Half-load efficiency</t>
  </si>
  <si>
    <t>IC Loss</t>
  </si>
  <si>
    <t>Nps1</t>
  </si>
  <si>
    <t>Nps2</t>
  </si>
  <si>
    <t>Step 5: Power Losses &amp; Thermals</t>
  </si>
  <si>
    <t xml:space="preserve">Resulting Input Voltage Ripple </t>
  </si>
  <si>
    <t>Check Iout-max</t>
  </si>
  <si>
    <t>Iout2</t>
  </si>
  <si>
    <t>Rout2</t>
  </si>
  <si>
    <t>Pout2</t>
  </si>
  <si>
    <t>Load resistance #2</t>
  </si>
  <si>
    <t>Output power #2</t>
  </si>
  <si>
    <t xml:space="preserve">Total Output Power </t>
  </si>
  <si>
    <t>Total power</t>
  </si>
  <si>
    <t>LM5180 Parameters</t>
  </si>
  <si>
    <r>
      <t>Ambient Temperature, T</t>
    </r>
    <r>
      <rPr>
        <b/>
        <vertAlign val="subscript"/>
        <sz val="10"/>
        <rFont val="Arial"/>
        <family val="2"/>
      </rPr>
      <t>A</t>
    </r>
  </si>
  <si>
    <t>BIPOLAR</t>
  </si>
  <si>
    <t>Vinripple1 - Input ripple spec</t>
  </si>
  <si>
    <t>OUTPUT CURRENT #2 - BIPOLAR</t>
  </si>
  <si>
    <t>OUTPUT CURRENT #2 - DUAL</t>
  </si>
  <si>
    <t>Output Cap(s)</t>
  </si>
  <si>
    <t>Input Cap(s)</t>
  </si>
  <si>
    <t>Diode Ref Des</t>
  </si>
  <si>
    <r>
      <t>D</t>
    </r>
    <r>
      <rPr>
        <vertAlign val="subscript"/>
        <sz val="10"/>
        <rFont val="Arial"/>
        <family val="2"/>
      </rPr>
      <t>FLY1</t>
    </r>
  </si>
  <si>
    <t>Cin (µF) for 5% ripple</t>
  </si>
  <si>
    <t>Calculations are performed at Vin(nom), Vin(min) and Vin(max) below</t>
  </si>
  <si>
    <r>
      <t>R</t>
    </r>
    <r>
      <rPr>
        <vertAlign val="subscript"/>
        <sz val="10"/>
        <rFont val="Arial"/>
        <family val="2"/>
      </rPr>
      <t>TC</t>
    </r>
  </si>
  <si>
    <t>Feedback Resistance - chosen by user</t>
  </si>
  <si>
    <t>Step 8: FB and TC Resistors</t>
  </si>
  <si>
    <t>Selected Rfb</t>
  </si>
  <si>
    <t>Feedback Resistance - recommneded to user</t>
  </si>
  <si>
    <t>Diode TC</t>
  </si>
  <si>
    <t>Standard Value RTC</t>
  </si>
  <si>
    <t>WSON-8</t>
  </si>
  <si>
    <r>
      <t>Low I</t>
    </r>
    <r>
      <rPr>
        <b/>
        <vertAlign val="subscript"/>
        <sz val="16"/>
        <rFont val="Arial"/>
        <family val="2"/>
      </rPr>
      <t>Q</t>
    </r>
    <r>
      <rPr>
        <b/>
        <sz val="16"/>
        <rFont val="Arial"/>
        <family val="2"/>
      </rPr>
      <t>, High Efficiency, PSR Flyback Converter BOM</t>
    </r>
  </si>
  <si>
    <r>
      <t>T</t>
    </r>
    <r>
      <rPr>
        <vertAlign val="subscript"/>
        <sz val="10"/>
        <rFont val="Arial"/>
        <family val="2"/>
      </rPr>
      <t>1</t>
    </r>
  </si>
  <si>
    <r>
      <t>R</t>
    </r>
    <r>
      <rPr>
        <vertAlign val="subscript"/>
        <sz val="10"/>
        <rFont val="Arial"/>
        <family val="2"/>
      </rPr>
      <t>FB</t>
    </r>
  </si>
  <si>
    <t>Primary Winding DCR</t>
  </si>
  <si>
    <t>FUNCTIONAL</t>
  </si>
  <si>
    <t>BASIC</t>
  </si>
  <si>
    <t>REINFORCED</t>
  </si>
  <si>
    <t>Isolation Grade</t>
  </si>
  <si>
    <t>Output #1</t>
  </si>
  <si>
    <t>Output #2</t>
  </si>
  <si>
    <t>12.1kΩ</t>
  </si>
  <si>
    <r>
      <t>Output Capacitance, C</t>
    </r>
    <r>
      <rPr>
        <b/>
        <vertAlign val="subscript"/>
        <sz val="10"/>
        <rFont val="Arial"/>
        <family val="2"/>
      </rPr>
      <t>OUT2</t>
    </r>
    <r>
      <rPr>
        <b/>
        <sz val="10"/>
        <rFont val="Arial"/>
        <family val="2"/>
      </rPr>
      <t xml:space="preserve"> </t>
    </r>
  </si>
  <si>
    <t>Output Capacitor ESR</t>
  </si>
  <si>
    <t>Adjustable</t>
  </si>
  <si>
    <t>Internal</t>
  </si>
  <si>
    <t>Primary winding DCR at hot</t>
  </si>
  <si>
    <t>Secondary winding DCR at hot</t>
  </si>
  <si>
    <t>Secondary winding #2 DCR at hot</t>
  </si>
  <si>
    <t>Temp - Hot</t>
  </si>
  <si>
    <t>Secondary winding #2 DCR</t>
  </si>
  <si>
    <t>Output Ripple Spec (pk-pk) #2</t>
  </si>
  <si>
    <t>Cout2</t>
  </si>
  <si>
    <t>Coutmin2</t>
  </si>
  <si>
    <t>Reported Cout ESR max #2</t>
  </si>
  <si>
    <t>CoutEsr2</t>
  </si>
  <si>
    <t>1% Vout2 ripple spec</t>
  </si>
  <si>
    <t>Vout_ripple2</t>
  </si>
  <si>
    <t>Check min Ton and Toff times</t>
  </si>
  <si>
    <t>Transformer DCR Temp Co</t>
  </si>
  <si>
    <t>Transformer Core-to-Ambient Thermal Resistance</t>
  </si>
  <si>
    <r>
      <t>D</t>
    </r>
    <r>
      <rPr>
        <vertAlign val="subscript"/>
        <sz val="10"/>
        <rFont val="Arial"/>
        <family val="2"/>
      </rPr>
      <t>FLY2</t>
    </r>
    <r>
      <rPr>
        <sz val="11"/>
        <color theme="1"/>
        <rFont val="Arial"/>
        <family val="2"/>
      </rPr>
      <t/>
    </r>
  </si>
  <si>
    <t>EN/UVLO</t>
  </si>
  <si>
    <t>SS/BIAS</t>
  </si>
  <si>
    <t>TC</t>
  </si>
  <si>
    <t>RSET</t>
  </si>
  <si>
    <t>Step 7: UVLO Resistors</t>
  </si>
  <si>
    <t>Step 2: Circuit Configuration for Single/Dual Output, Int/Adj UVLO, Int/Adj SS, Yes/No TC</t>
  </si>
  <si>
    <t>Step 3: Flyback Transformer</t>
  </si>
  <si>
    <t>Step 3: Output Capacitor(s)</t>
  </si>
  <si>
    <t>DUAL OUTPUT</t>
  </si>
  <si>
    <t>check Ton for dual output…</t>
  </si>
  <si>
    <t>check Vripple variable name…</t>
  </si>
  <si>
    <t>Output voltage</t>
  </si>
  <si>
    <t>Maximum output current #2</t>
  </si>
  <si>
    <t>Output voltage #2</t>
  </si>
  <si>
    <t>DCM switching frequency</t>
  </si>
  <si>
    <t>Reference voltage</t>
  </si>
  <si>
    <t>Feedback resistor</t>
  </si>
  <si>
    <t>Power dissipation</t>
  </si>
  <si>
    <t>check…</t>
  </si>
  <si>
    <t>Turns_Ratio2</t>
  </si>
  <si>
    <t>Single Output or Dual 1st Output</t>
  </si>
  <si>
    <t>SEC1 to SEC2</t>
  </si>
  <si>
    <t>Nsec1sec2</t>
  </si>
  <si>
    <t>Scale</t>
  </si>
  <si>
    <t>PRI : SEC1 : SEC2</t>
  </si>
  <si>
    <t>Turns Ratio, PRI : SEC2</t>
  </si>
  <si>
    <t>TR primary-secondary2 (dual output) = Np/Nsec2</t>
  </si>
  <si>
    <t>TR sec1-sec2 (dual output) = Nsec1/Nsec2</t>
  </si>
  <si>
    <t>Iout2 (A)</t>
  </si>
  <si>
    <t>Iout1 (A)</t>
  </si>
  <si>
    <t>Pout1 (W)</t>
  </si>
  <si>
    <t>Pout2 (W)</t>
  </si>
  <si>
    <t>Iout1-max (A)</t>
  </si>
  <si>
    <t>Iout2-max (A)</t>
  </si>
  <si>
    <t>Vout1-actual (V)</t>
  </si>
  <si>
    <t>Vout1-Reflected (V)</t>
  </si>
  <si>
    <t>Iout1-min-BCM (A)</t>
  </si>
  <si>
    <t>Iout1-max-FFB (A)</t>
  </si>
  <si>
    <t>Turns Ratio, SEC1 : SEC2</t>
  </si>
  <si>
    <t>Pout1-max (W)</t>
  </si>
  <si>
    <t>Cout1 (µF) for 1% ripple</t>
  </si>
  <si>
    <t>Cout2 (µF) for 1% ripple</t>
  </si>
  <si>
    <t>Min 1uF</t>
  </si>
  <si>
    <t>Vripple1_spec</t>
  </si>
  <si>
    <t>Vripple2_actual</t>
  </si>
  <si>
    <t>Vripple1_actual</t>
  </si>
  <si>
    <t>Vripple2_spec</t>
  </si>
  <si>
    <t>Isec2-rms (A)</t>
  </si>
  <si>
    <t>Isec1-rms (A)</t>
  </si>
  <si>
    <t>P-Diode2-Cond (W)</t>
  </si>
  <si>
    <t>P-Diode1-Cond (W)</t>
  </si>
  <si>
    <t>PCu-sec2 (W)</t>
  </si>
  <si>
    <t>PCu-sec1 (W)</t>
  </si>
  <si>
    <t>Iout1 (%)</t>
  </si>
  <si>
    <r>
      <t>Max Output Power at V</t>
    </r>
    <r>
      <rPr>
        <vertAlign val="subscript"/>
        <sz val="10"/>
        <rFont val="Arial"/>
        <family val="2"/>
      </rPr>
      <t>IN(min)</t>
    </r>
  </si>
  <si>
    <t>Pout2-max (W)</t>
  </si>
  <si>
    <t>Max Pout at Vin-min</t>
  </si>
  <si>
    <t>Vout2 - absolute value</t>
  </si>
  <si>
    <t>Vout2 - with polarity</t>
  </si>
  <si>
    <t xml:space="preserve">Diode reverse voltage </t>
  </si>
  <si>
    <t>8mm x 8mm</t>
  </si>
  <si>
    <t>9mm x 9mm</t>
  </si>
  <si>
    <t>10mm x 10mm</t>
  </si>
  <si>
    <t>10mm x 12mm</t>
  </si>
  <si>
    <t>11mm x 13mm</t>
  </si>
  <si>
    <t>10 x 12</t>
  </si>
  <si>
    <t>10 x 10</t>
  </si>
  <si>
    <t>9 x 9</t>
  </si>
  <si>
    <t>8 x 8</t>
  </si>
  <si>
    <t>7 x 7</t>
  </si>
  <si>
    <t>6 x 6</t>
  </si>
  <si>
    <t>11 x 13</t>
  </si>
  <si>
    <r>
      <t>D</t>
    </r>
    <r>
      <rPr>
        <vertAlign val="subscript"/>
        <sz val="10"/>
        <rFont val="Arial"/>
        <family val="2"/>
      </rPr>
      <t>CLAMP</t>
    </r>
  </si>
  <si>
    <t>24V</t>
  </si>
  <si>
    <r>
      <t>C</t>
    </r>
    <r>
      <rPr>
        <vertAlign val="subscript"/>
        <sz val="10"/>
        <rFont val="Arial"/>
        <family val="2"/>
      </rPr>
      <t>OUT2</t>
    </r>
  </si>
  <si>
    <r>
      <t>D</t>
    </r>
    <r>
      <rPr>
        <vertAlign val="subscript"/>
        <sz val="10"/>
        <rFont val="Arial"/>
        <family val="2"/>
      </rPr>
      <t>FLY2</t>
    </r>
  </si>
  <si>
    <r>
      <t>D</t>
    </r>
    <r>
      <rPr>
        <vertAlign val="subscript"/>
        <sz val="10"/>
        <rFont val="Arial"/>
        <family val="2"/>
      </rPr>
      <t>FLY</t>
    </r>
  </si>
  <si>
    <r>
      <t>D</t>
    </r>
    <r>
      <rPr>
        <vertAlign val="subscript"/>
        <sz val="10"/>
        <rFont val="Arial"/>
        <family val="2"/>
      </rPr>
      <t>F</t>
    </r>
    <r>
      <rPr>
        <sz val="11"/>
        <color theme="1"/>
        <rFont val="Arial"/>
        <family val="2"/>
      </rPr>
      <t/>
    </r>
  </si>
  <si>
    <r>
      <t>R</t>
    </r>
    <r>
      <rPr>
        <vertAlign val="subscript"/>
        <sz val="10"/>
        <rFont val="Arial"/>
        <family val="2"/>
      </rPr>
      <t>SET</t>
    </r>
  </si>
  <si>
    <t>*** Use primary-side RC snubber from SW to VIN to dampen leakage inductance spike ***</t>
  </si>
  <si>
    <t>**** Use flyback diode RC snubber to dampen ringing if needed ****</t>
  </si>
  <si>
    <t>SOD323</t>
  </si>
  <si>
    <t>SOD123</t>
  </si>
  <si>
    <t>SMA</t>
  </si>
  <si>
    <t>Footprint</t>
  </si>
  <si>
    <t>Area</t>
  </si>
  <si>
    <t>Diode Size</t>
  </si>
  <si>
    <r>
      <t>D</t>
    </r>
    <r>
      <rPr>
        <vertAlign val="subscript"/>
        <sz val="10"/>
        <rFont val="Arial"/>
        <family val="2"/>
      </rPr>
      <t>OUT</t>
    </r>
  </si>
  <si>
    <t>5.0 x 2.5</t>
  </si>
  <si>
    <t>3.6 x 1.8</t>
  </si>
  <si>
    <t>2.5 x 1.25</t>
  </si>
  <si>
    <t>SOD523</t>
  </si>
  <si>
    <t>Flyback Diode - forward current rating</t>
  </si>
  <si>
    <t>Flyback Diode - reverse voltage rating</t>
  </si>
  <si>
    <t>***** Use output zener to clamp the output at no load *****</t>
  </si>
  <si>
    <r>
      <t>Flyback Diode Voltage Drop, V</t>
    </r>
    <r>
      <rPr>
        <b/>
        <vertAlign val="subscript"/>
        <sz val="10"/>
        <rFont val="Arial"/>
        <family val="2"/>
      </rPr>
      <t>D(no-load)</t>
    </r>
  </si>
  <si>
    <r>
      <t>Flyback Diode Voltage Drop, V</t>
    </r>
    <r>
      <rPr>
        <b/>
        <vertAlign val="subscript"/>
        <sz val="10"/>
        <rFont val="Arial"/>
        <family val="2"/>
      </rPr>
      <t>D(full-load)</t>
    </r>
  </si>
  <si>
    <t>Flyback diode forward voltage at full load</t>
  </si>
  <si>
    <t>Flyback diode forward voltage at no load</t>
  </si>
  <si>
    <t>Vfwd1</t>
  </si>
  <si>
    <t>Vfwd2</t>
  </si>
  <si>
    <t>Transformer secondary winding DCR at 25°C</t>
  </si>
  <si>
    <t>Iout2_actual</t>
  </si>
  <si>
    <t>Maximum output current #1</t>
  </si>
  <si>
    <t>6ms Fixed</t>
  </si>
  <si>
    <t>Iout actual (A)</t>
  </si>
  <si>
    <t>Pout actual (W)</t>
  </si>
  <si>
    <t>Vout actual (V)</t>
  </si>
  <si>
    <t>Ton-diode (µs)</t>
  </si>
  <si>
    <t>Iout-actual</t>
  </si>
  <si>
    <t>Vout-actual -?</t>
  </si>
  <si>
    <t>Pout-actual (W)</t>
  </si>
  <si>
    <t>Vout-calc?</t>
  </si>
  <si>
    <r>
      <t>Duty Cycle at V</t>
    </r>
    <r>
      <rPr>
        <vertAlign val="subscript"/>
        <sz val="10"/>
        <rFont val="Arial"/>
        <family val="2"/>
      </rPr>
      <t>IN(min)</t>
    </r>
  </si>
  <si>
    <t>%</t>
  </si>
  <si>
    <t>Minimum Magnetizing Inductance</t>
  </si>
  <si>
    <t>Lmin</t>
  </si>
  <si>
    <t>Lleak</t>
  </si>
  <si>
    <t>nH</t>
  </si>
  <si>
    <t>Pri-Sec Leakage Inductance</t>
  </si>
  <si>
    <t>LM5180EVM-DUAL PCB design, 2.1" x 1.5" (55mm x 38mm)</t>
  </si>
  <si>
    <t>Check Fsw at  Iout-max</t>
  </si>
  <si>
    <t>Check Pout-max at  Iout-max</t>
  </si>
  <si>
    <t>LM5180EVM-S05 PCB Design, 2" x 1.4" (50mm x 35mm)</t>
  </si>
  <si>
    <t>P-Transforer (W)</t>
  </si>
  <si>
    <t>P-Trans-Total (mW)</t>
  </si>
  <si>
    <t>P-IC-Total (W)</t>
  </si>
  <si>
    <t>RdsonTC</t>
  </si>
  <si>
    <t>ppm/°C</t>
  </si>
  <si>
    <t>Drain to Source Resistance Temp Co</t>
  </si>
  <si>
    <t>IC thermal impedance</t>
  </si>
  <si>
    <t>ThetaJA</t>
  </si>
  <si>
    <t>P-trans (W)</t>
  </si>
  <si>
    <t>LM25180</t>
  </si>
  <si>
    <t>* Choose a transformer with saturation current rating higher than the max peak current limit setting (1.65A) for all operating temperatures *</t>
  </si>
  <si>
    <t xml:space="preserve"> LM25180 PSR Flyback Converter Design Tool</t>
  </si>
  <si>
    <t xml:space="preserve">                          LM25180 PSR Flyback Converter Design Tool  </t>
  </si>
  <si>
    <r>
      <t>LM25180 Power Dissipation at Full Load, P</t>
    </r>
    <r>
      <rPr>
        <vertAlign val="subscript"/>
        <sz val="10"/>
        <rFont val="Arial"/>
        <family val="2"/>
      </rPr>
      <t>D</t>
    </r>
  </si>
  <si>
    <r>
      <t>LM25180 Junction Temperature at Full Load, T</t>
    </r>
    <r>
      <rPr>
        <vertAlign val="subscript"/>
        <sz val="10"/>
        <rFont val="Arial"/>
        <family val="2"/>
      </rPr>
      <t>J</t>
    </r>
  </si>
  <si>
    <t>IC, LM25180, PSR Flyback Converter, 4.5V–42V Input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</si>
</sst>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0.00_);_(* \(#,##0.00\);_(* &quot;-&quot;??_);_(@_)"/>
    <numFmt numFmtId="164" formatCode="0.00000"/>
    <numFmt numFmtId="165" formatCode="0.0000"/>
    <numFmt numFmtId="166" formatCode="0.000"/>
    <numFmt numFmtId="167" formatCode="0.0"/>
    <numFmt numFmtId="168" formatCode="0.000E+00"/>
    <numFmt numFmtId="169" formatCode="#0.0#"/>
    <numFmt numFmtId="170" formatCode="General&quot;k&quot;"/>
    <numFmt numFmtId="171" formatCode="General&quot;µF&quot;"/>
    <numFmt numFmtId="172" formatCode="General&quot;µH&quot;"/>
    <numFmt numFmtId="173" formatCode="&quot;Inductor, &quot;General&quot;-µH, 10%&quot;"/>
    <numFmt numFmtId="174" formatCode="&quot;Resistor, Chip, &quot;General&quot;-kΩ, 1/16W, 1%&quot;"/>
    <numFmt numFmtId="175" formatCode="0.E+00"/>
    <numFmt numFmtId="176" formatCode="0.0E+00"/>
    <numFmt numFmtId="177" formatCode="&quot;Capacitor, Ceramic, &quot;General&quot;-µF, 100V, X7R, 20%&quot;"/>
    <numFmt numFmtId="178" formatCode="0.000%"/>
    <numFmt numFmtId="179" formatCode="&quot;Capacitor, Ceramic, &quot;General&quot;-µF, 16V, X7R, 20%&quot;"/>
    <numFmt numFmtId="180" formatCode="&quot;Resistor, Chip, &quot;General&quot; kΩ, 1/16W, 1%&quot;"/>
    <numFmt numFmtId="181" formatCode="General&quot;M&quot;"/>
    <numFmt numFmtId="182" formatCode="&quot;Resistor, Chip, &quot;General&quot;kΩ, 1/16W, 1%&quot;"/>
    <numFmt numFmtId="183" formatCode="0E+00"/>
  </numFmts>
  <fonts count="82" x14ac:knownFonts="1">
    <font>
      <sz val="10"/>
      <name val="Arial"/>
    </font>
    <font>
      <sz val="11"/>
      <color theme="1"/>
      <name val="Arial"/>
      <family val="2"/>
    </font>
    <font>
      <sz val="11"/>
      <color theme="1"/>
      <name val="Calibri"/>
      <family val="2"/>
      <scheme val="minor"/>
    </font>
    <font>
      <sz val="10"/>
      <name val="Arial"/>
      <family val="2"/>
    </font>
    <font>
      <b/>
      <sz val="10"/>
      <name val="Arial"/>
      <family val="2"/>
    </font>
    <font>
      <b/>
      <sz val="22"/>
      <color indexed="44"/>
      <name val="Arial"/>
      <family val="2"/>
    </font>
    <font>
      <sz val="8"/>
      <name val="Arial"/>
      <family val="2"/>
    </font>
    <font>
      <b/>
      <i/>
      <sz val="10"/>
      <name val="Arial"/>
      <family val="2"/>
    </font>
    <font>
      <sz val="10"/>
      <name val="Arial"/>
      <family val="2"/>
    </font>
    <font>
      <vertAlign val="subscript"/>
      <sz val="10"/>
      <name val="Arial"/>
      <family val="2"/>
    </font>
    <font>
      <u/>
      <sz val="10"/>
      <color indexed="12"/>
      <name val="Arial"/>
      <family val="2"/>
    </font>
    <font>
      <b/>
      <sz val="16"/>
      <name val="Arial"/>
      <family val="2"/>
    </font>
    <font>
      <sz val="10"/>
      <color indexed="44"/>
      <name val="Arial"/>
      <family val="2"/>
    </font>
    <font>
      <b/>
      <sz val="28"/>
      <color indexed="44"/>
      <name val="Arial"/>
      <family val="2"/>
    </font>
    <font>
      <b/>
      <sz val="10"/>
      <color indexed="44"/>
      <name val="Arial"/>
      <family val="2"/>
    </font>
    <font>
      <sz val="10"/>
      <color indexed="8"/>
      <name val="Arial"/>
      <family val="2"/>
    </font>
    <font>
      <b/>
      <sz val="24"/>
      <color indexed="44"/>
      <name val="Arial"/>
      <family val="2"/>
    </font>
    <font>
      <sz val="10"/>
      <name val="Calibri"/>
      <family val="2"/>
    </font>
    <font>
      <b/>
      <sz val="10"/>
      <name val="Calibri"/>
      <family val="2"/>
    </font>
    <font>
      <sz val="10"/>
      <color indexed="55"/>
      <name val="Calibri"/>
      <family val="2"/>
    </font>
    <font>
      <b/>
      <sz val="10"/>
      <color indexed="9"/>
      <name val="Calibri"/>
      <family val="2"/>
    </font>
    <font>
      <b/>
      <sz val="12"/>
      <color indexed="48"/>
      <name val="Arial"/>
      <family val="2"/>
    </font>
    <font>
      <b/>
      <sz val="12"/>
      <color indexed="12"/>
      <name val="Arial"/>
      <family val="2"/>
    </font>
    <font>
      <b/>
      <sz val="12"/>
      <color indexed="9"/>
      <name val="Calibri"/>
      <family val="2"/>
    </font>
    <font>
      <b/>
      <sz val="22"/>
      <color indexed="9"/>
      <name val="Calibri"/>
      <family val="2"/>
    </font>
    <font>
      <b/>
      <sz val="10"/>
      <color indexed="13"/>
      <name val="Calibri"/>
      <family val="2"/>
    </font>
    <font>
      <sz val="10"/>
      <color indexed="56"/>
      <name val="Calibri"/>
      <family val="2"/>
    </font>
    <font>
      <sz val="10"/>
      <color indexed="8"/>
      <name val="Arial"/>
      <family val="2"/>
    </font>
    <font>
      <b/>
      <sz val="14"/>
      <color indexed="9"/>
      <name val="Calibri"/>
      <family val="2"/>
    </font>
    <font>
      <sz val="11"/>
      <color indexed="81"/>
      <name val="Tahoma"/>
      <family val="2"/>
    </font>
    <font>
      <b/>
      <i/>
      <sz val="14"/>
      <color indexed="12"/>
      <name val="Calibri"/>
      <family val="2"/>
    </font>
    <font>
      <b/>
      <sz val="9"/>
      <color indexed="81"/>
      <name val="Tahoma"/>
      <family val="2"/>
    </font>
    <font>
      <sz val="9"/>
      <color indexed="81"/>
      <name val="Tahoma"/>
      <family val="2"/>
    </font>
    <font>
      <b/>
      <u/>
      <sz val="9"/>
      <color indexed="81"/>
      <name val="Tahoma"/>
      <family val="2"/>
    </font>
    <font>
      <sz val="11"/>
      <color indexed="10"/>
      <name val="Tahoma"/>
      <family val="2"/>
    </font>
    <font>
      <b/>
      <sz val="11"/>
      <color indexed="10"/>
      <name val="Tahoma"/>
      <family val="2"/>
    </font>
    <font>
      <b/>
      <sz val="9"/>
      <color indexed="10"/>
      <name val="Tahoma"/>
      <family val="2"/>
    </font>
    <font>
      <sz val="9"/>
      <color indexed="39"/>
      <name val="Tahoma"/>
      <family val="2"/>
    </font>
    <font>
      <b/>
      <sz val="9"/>
      <color indexed="39"/>
      <name val="Tahoma"/>
      <family val="2"/>
    </font>
    <font>
      <b/>
      <vertAlign val="subscript"/>
      <sz val="9"/>
      <color indexed="81"/>
      <name val="Tahoma"/>
      <family val="2"/>
    </font>
    <font>
      <sz val="36"/>
      <color rgb="FFFF0000"/>
      <name val="Arial"/>
      <family val="2"/>
    </font>
    <font>
      <b/>
      <u/>
      <sz val="11"/>
      <color indexed="10"/>
      <name val="Tahoma"/>
      <family val="2"/>
    </font>
    <font>
      <sz val="16"/>
      <color theme="0"/>
      <name val="Arial"/>
      <family val="2"/>
    </font>
    <font>
      <b/>
      <vertAlign val="subscript"/>
      <sz val="10"/>
      <name val="Arial"/>
      <family val="2"/>
    </font>
    <font>
      <sz val="10"/>
      <color indexed="23"/>
      <name val="Arial"/>
      <family val="2"/>
    </font>
    <font>
      <sz val="10"/>
      <color indexed="55"/>
      <name val="Arial"/>
      <family val="2"/>
    </font>
    <font>
      <b/>
      <i/>
      <sz val="10"/>
      <color indexed="55"/>
      <name val="Arial"/>
      <family val="2"/>
    </font>
    <font>
      <b/>
      <i/>
      <sz val="14"/>
      <color indexed="12"/>
      <name val="Arial"/>
      <family val="2"/>
    </font>
    <font>
      <b/>
      <sz val="10"/>
      <color rgb="FFFF0000"/>
      <name val="Arial"/>
      <family val="2"/>
    </font>
    <font>
      <sz val="10"/>
      <color theme="1"/>
      <name val="Arial"/>
      <family val="2"/>
    </font>
    <font>
      <b/>
      <sz val="10"/>
      <color theme="1"/>
      <name val="Arial"/>
      <family val="2"/>
    </font>
    <font>
      <b/>
      <vertAlign val="subscript"/>
      <sz val="10"/>
      <color theme="1"/>
      <name val="Arial"/>
      <family val="2"/>
    </font>
    <font>
      <b/>
      <sz val="12"/>
      <color rgb="FF003366"/>
      <name val="Calibri"/>
      <family val="2"/>
    </font>
    <font>
      <sz val="10"/>
      <name val="Symbol"/>
      <family val="1"/>
      <charset val="2"/>
    </font>
    <font>
      <b/>
      <sz val="10"/>
      <color indexed="9"/>
      <name val="Arial"/>
      <family val="2"/>
    </font>
    <font>
      <b/>
      <sz val="12"/>
      <color rgb="FF0000FF"/>
      <name val="Arial"/>
      <family val="2"/>
    </font>
    <font>
      <b/>
      <u/>
      <sz val="10"/>
      <name val="Arial"/>
      <family val="2"/>
    </font>
    <font>
      <u/>
      <sz val="9"/>
      <color indexed="12"/>
      <name val="Tahoma"/>
      <family val="2"/>
    </font>
    <font>
      <sz val="10"/>
      <color rgb="FFFF0000"/>
      <name val="Arial"/>
      <family val="2"/>
    </font>
    <font>
      <sz val="10"/>
      <color theme="0"/>
      <name val="Arial"/>
      <family val="2"/>
    </font>
    <font>
      <sz val="30"/>
      <color theme="0"/>
      <name val="Arial"/>
      <family val="2"/>
    </font>
    <font>
      <sz val="10"/>
      <name val="Cambria"/>
      <family val="1"/>
      <scheme val="major"/>
    </font>
    <font>
      <b/>
      <sz val="10"/>
      <color indexed="8"/>
      <name val="Arial"/>
      <family val="2"/>
    </font>
    <font>
      <sz val="10"/>
      <name val="Times New Roman"/>
      <family val="1"/>
    </font>
    <font>
      <sz val="18"/>
      <name val="Arial"/>
      <family val="2"/>
    </font>
    <font>
      <b/>
      <sz val="11"/>
      <name val="Symbol"/>
      <family val="1"/>
      <charset val="2"/>
    </font>
    <font>
      <b/>
      <sz val="10"/>
      <color rgb="FF0000FF"/>
      <name val="Arial"/>
      <family val="2"/>
    </font>
    <font>
      <u/>
      <sz val="10"/>
      <color theme="0" tint="-0.499984740745262"/>
      <name val="Arial"/>
      <family val="2"/>
    </font>
    <font>
      <vertAlign val="subscript"/>
      <sz val="9"/>
      <color indexed="81"/>
      <name val="Tahoma"/>
      <family val="2"/>
    </font>
    <font>
      <b/>
      <vertAlign val="subscript"/>
      <sz val="16"/>
      <name val="Arial"/>
      <family val="2"/>
    </font>
    <font>
      <b/>
      <sz val="10"/>
      <color rgb="FF33CC33"/>
      <name val="Arial"/>
      <family val="2"/>
    </font>
    <font>
      <sz val="10"/>
      <name val="Arial"/>
      <family val="2"/>
    </font>
    <font>
      <sz val="9"/>
      <color indexed="8"/>
      <name val="Tahoma"/>
      <family val="2"/>
    </font>
    <font>
      <b/>
      <sz val="10"/>
      <color theme="0"/>
      <name val="Arial"/>
      <family val="2"/>
    </font>
    <font>
      <b/>
      <vertAlign val="superscript"/>
      <sz val="10"/>
      <color theme="0"/>
      <name val="Arial"/>
      <family val="2"/>
    </font>
    <font>
      <b/>
      <sz val="11"/>
      <color rgb="FFFF0000"/>
      <name val="Arial"/>
      <family val="2"/>
    </font>
    <font>
      <b/>
      <sz val="12"/>
      <color rgb="FFFF0000"/>
      <name val="Arial"/>
      <family val="2"/>
    </font>
    <font>
      <b/>
      <vertAlign val="superscript"/>
      <sz val="12"/>
      <color rgb="FFFF0000"/>
      <name val="Arial"/>
      <family val="2"/>
    </font>
    <font>
      <sz val="34"/>
      <color theme="0"/>
      <name val="Arial"/>
      <family val="2"/>
    </font>
    <font>
      <b/>
      <sz val="10"/>
      <color theme="6" tint="-0.249977111117893"/>
      <name val="Arial"/>
      <family val="2"/>
    </font>
    <font>
      <sz val="10"/>
      <color rgb="FF0000FF"/>
      <name val="Arial"/>
      <family val="2"/>
    </font>
    <font>
      <b/>
      <sz val="10"/>
      <color theme="9" tint="-0.249977111117893"/>
      <name val="Arial"/>
      <family val="2"/>
    </font>
  </fonts>
  <fills count="29">
    <fill>
      <patternFill patternType="none"/>
    </fill>
    <fill>
      <patternFill patternType="gray125"/>
    </fill>
    <fill>
      <patternFill patternType="solid">
        <fgColor indexed="44"/>
        <bgColor indexed="64"/>
      </patternFill>
    </fill>
    <fill>
      <patternFill patternType="solid">
        <fgColor indexed="8"/>
        <bgColor indexed="64"/>
      </patternFill>
    </fill>
    <fill>
      <patternFill patternType="solid">
        <fgColor indexed="22"/>
        <bgColor indexed="64"/>
      </patternFill>
    </fill>
    <fill>
      <patternFill patternType="solid">
        <fgColor indexed="55"/>
        <bgColor indexed="64"/>
      </patternFill>
    </fill>
    <fill>
      <patternFill patternType="solid">
        <fgColor indexed="45"/>
        <bgColor indexed="64"/>
      </patternFill>
    </fill>
    <fill>
      <patternFill patternType="solid">
        <fgColor indexed="46"/>
        <bgColor indexed="64"/>
      </patternFill>
    </fill>
    <fill>
      <patternFill patternType="solid">
        <fgColor indexed="9"/>
        <bgColor indexed="64"/>
      </patternFill>
    </fill>
    <fill>
      <patternFill patternType="solid">
        <fgColor indexed="13"/>
        <bgColor indexed="64"/>
      </patternFill>
    </fill>
    <fill>
      <patternFill patternType="solid">
        <fgColor indexed="52"/>
        <bgColor indexed="64"/>
      </patternFill>
    </fill>
    <fill>
      <patternFill patternType="solid">
        <fgColor indexed="50"/>
        <bgColor indexed="64"/>
      </patternFill>
    </fill>
    <fill>
      <patternFill patternType="solid">
        <fgColor theme="0"/>
        <bgColor indexed="64"/>
      </patternFill>
    </fill>
    <fill>
      <patternFill patternType="solid">
        <fgColor rgb="FFFF0000"/>
        <bgColor indexed="64"/>
      </patternFill>
    </fill>
    <fill>
      <patternFill patternType="solid">
        <fgColor theme="1"/>
        <bgColor indexed="64"/>
      </patternFill>
    </fill>
    <fill>
      <patternFill patternType="solid">
        <fgColor rgb="FFFFFF00"/>
        <bgColor indexed="64"/>
      </patternFill>
    </fill>
    <fill>
      <patternFill patternType="solid">
        <fgColor indexed="43"/>
        <bgColor indexed="64"/>
      </patternFill>
    </fill>
    <fill>
      <patternFill patternType="solid">
        <fgColor rgb="FFFFFF99"/>
        <bgColor indexed="64"/>
      </patternFill>
    </fill>
    <fill>
      <patternFill patternType="solid">
        <fgColor rgb="FFFF9900"/>
        <bgColor indexed="64"/>
      </patternFill>
    </fill>
    <fill>
      <patternFill patternType="solid">
        <fgColor rgb="FF99CC00"/>
        <bgColor indexed="64"/>
      </patternFill>
    </fill>
    <fill>
      <patternFill patternType="solid">
        <fgColor rgb="FFC0C0C0"/>
        <bgColor indexed="64"/>
      </patternFill>
    </fill>
    <fill>
      <patternFill patternType="solid">
        <fgColor rgb="FFFFC000"/>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33CC33"/>
        <bgColor indexed="64"/>
      </patternFill>
    </fill>
    <fill>
      <patternFill patternType="solid">
        <fgColor rgb="FF00B0F0"/>
        <bgColor indexed="64"/>
      </patternFill>
    </fill>
    <fill>
      <patternFill patternType="solid">
        <fgColor theme="3" tint="0.79998168889431442"/>
        <bgColor indexed="64"/>
      </patternFill>
    </fill>
    <fill>
      <patternFill patternType="solid">
        <fgColor rgb="FFFF00FF"/>
        <bgColor indexed="64"/>
      </patternFill>
    </fill>
  </fills>
  <borders count="7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55"/>
      </top>
      <bottom/>
      <diagonal/>
    </border>
    <border>
      <left/>
      <right/>
      <top/>
      <bottom style="medium">
        <color indexed="55"/>
      </bottom>
      <diagonal/>
    </border>
    <border>
      <left/>
      <right style="medium">
        <color indexed="55"/>
      </right>
      <top style="medium">
        <color indexed="55"/>
      </top>
      <bottom/>
      <diagonal/>
    </border>
    <border>
      <left/>
      <right style="medium">
        <color indexed="55"/>
      </right>
      <top/>
      <bottom/>
      <diagonal/>
    </border>
    <border>
      <left/>
      <right style="medium">
        <color indexed="55"/>
      </right>
      <top/>
      <bottom style="medium">
        <color indexed="55"/>
      </bottom>
      <diagonal/>
    </border>
    <border>
      <left style="medium">
        <color indexed="55"/>
      </left>
      <right/>
      <top style="medium">
        <color indexed="55"/>
      </top>
      <bottom/>
      <diagonal/>
    </border>
    <border>
      <left style="medium">
        <color indexed="55"/>
      </left>
      <right/>
      <top/>
      <bottom/>
      <diagonal/>
    </border>
    <border>
      <left style="medium">
        <color indexed="55"/>
      </left>
      <right/>
      <top/>
      <bottom style="medium">
        <color indexed="55"/>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indexed="64"/>
      </top>
      <bottom style="medium">
        <color indexed="64"/>
      </bottom>
      <diagonal/>
    </border>
    <border>
      <left/>
      <right/>
      <top style="medium">
        <color auto="1"/>
      </top>
      <bottom style="medium">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55"/>
      </top>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s>
  <cellStyleXfs count="8">
    <xf numFmtId="0" fontId="0" fillId="0" borderId="0"/>
    <xf numFmtId="0" fontId="4" fillId="0" borderId="0" applyNumberFormat="0" applyFill="0" applyBorder="0" applyAlignment="0" applyProtection="0"/>
    <xf numFmtId="43" fontId="3" fillId="0" borderId="0" applyFont="0" applyFill="0" applyBorder="0" applyAlignment="0" applyProtection="0"/>
    <xf numFmtId="0" fontId="10" fillId="0" borderId="0" applyNumberFormat="0" applyFill="0" applyBorder="0" applyAlignment="0" applyProtection="0">
      <alignment vertical="top"/>
      <protection locked="0"/>
    </xf>
    <xf numFmtId="0" fontId="3" fillId="0" borderId="0"/>
    <xf numFmtId="0" fontId="2" fillId="0" borderId="0"/>
    <xf numFmtId="43" fontId="2" fillId="0" borderId="0" applyFont="0" applyFill="0" applyBorder="0" applyAlignment="0" applyProtection="0"/>
    <xf numFmtId="9" fontId="71" fillId="0" borderId="0" applyFont="0" applyFill="0" applyBorder="0" applyAlignment="0" applyProtection="0"/>
  </cellStyleXfs>
  <cellXfs count="697">
    <xf numFmtId="0" fontId="0" fillId="0" borderId="0" xfId="0"/>
    <xf numFmtId="0" fontId="76" fillId="8" borderId="0" xfId="4" applyFont="1" applyFill="1" applyAlignment="1">
      <alignment horizontal="right" wrapText="1"/>
    </xf>
    <xf numFmtId="0" fontId="23" fillId="24" borderId="0" xfId="0" applyFont="1" applyFill="1" applyBorder="1" applyAlignment="1" applyProtection="1">
      <alignment horizontal="center" vertical="center"/>
    </xf>
    <xf numFmtId="0" fontId="7" fillId="0" borderId="0" xfId="0" applyFont="1"/>
    <xf numFmtId="0" fontId="4" fillId="0" borderId="0" xfId="0" applyFont="1"/>
    <xf numFmtId="0" fontId="8" fillId="0" borderId="0" xfId="0" applyFont="1"/>
    <xf numFmtId="2" fontId="0" fillId="0" borderId="0" xfId="0" applyNumberFormat="1"/>
    <xf numFmtId="0" fontId="4" fillId="2" borderId="0" xfId="0" applyFont="1" applyFill="1"/>
    <xf numFmtId="0" fontId="0" fillId="0" borderId="0" xfId="0" applyBorder="1"/>
    <xf numFmtId="2" fontId="0" fillId="0" borderId="0" xfId="0" applyNumberFormat="1" applyBorder="1"/>
    <xf numFmtId="0" fontId="0" fillId="4" borderId="2" xfId="0" applyFill="1" applyBorder="1"/>
    <xf numFmtId="0" fontId="0" fillId="4" borderId="0" xfId="0" applyFill="1" applyBorder="1"/>
    <xf numFmtId="0" fontId="0" fillId="0" borderId="0" xfId="0" applyFill="1"/>
    <xf numFmtId="0" fontId="0" fillId="0" borderId="0" xfId="0" applyFill="1" applyBorder="1"/>
    <xf numFmtId="0" fontId="15" fillId="0" borderId="0" xfId="0" applyFont="1" applyFill="1" applyBorder="1"/>
    <xf numFmtId="0" fontId="4" fillId="0" borderId="0" xfId="0" applyFont="1" applyFill="1" applyBorder="1"/>
    <xf numFmtId="0" fontId="0" fillId="9" borderId="0" xfId="0" applyFill="1"/>
    <xf numFmtId="0" fontId="0" fillId="0" borderId="0" xfId="0" applyAlignment="1">
      <alignment horizontal="right"/>
    </xf>
    <xf numFmtId="0" fontId="17" fillId="0" borderId="0" xfId="0" applyFont="1"/>
    <xf numFmtId="11" fontId="7" fillId="0" borderId="0" xfId="0" applyNumberFormat="1" applyFont="1"/>
    <xf numFmtId="0" fontId="4" fillId="0" borderId="0" xfId="0" applyFont="1" applyFill="1" applyAlignment="1">
      <alignment horizontal="center"/>
    </xf>
    <xf numFmtId="0" fontId="4" fillId="4" borderId="0" xfId="0" applyFont="1" applyFill="1" applyAlignment="1">
      <alignment horizontal="center"/>
    </xf>
    <xf numFmtId="0" fontId="4" fillId="10" borderId="0" xfId="0" applyFont="1" applyFill="1" applyAlignment="1">
      <alignment horizontal="center"/>
    </xf>
    <xf numFmtId="0" fontId="4" fillId="11" borderId="0" xfId="0" applyFont="1" applyFill="1" applyAlignment="1">
      <alignment horizontal="center"/>
    </xf>
    <xf numFmtId="169" fontId="17" fillId="3" borderId="0" xfId="0" applyNumberFormat="1" applyFont="1" applyFill="1" applyBorder="1" applyAlignment="1" applyProtection="1">
      <alignment horizontal="center"/>
    </xf>
    <xf numFmtId="0" fontId="0" fillId="0" borderId="22" xfId="0" applyBorder="1"/>
    <xf numFmtId="0" fontId="0" fillId="0" borderId="23" xfId="0" applyBorder="1"/>
    <xf numFmtId="0" fontId="8" fillId="0" borderId="22" xfId="0" applyFont="1" applyBorder="1"/>
    <xf numFmtId="0" fontId="0" fillId="11" borderId="0" xfId="0" applyFill="1" applyBorder="1"/>
    <xf numFmtId="0" fontId="0" fillId="0" borderId="24" xfId="0" applyBorder="1"/>
    <xf numFmtId="0" fontId="0" fillId="0" borderId="25" xfId="0" applyBorder="1"/>
    <xf numFmtId="0" fontId="0" fillId="0" borderId="26" xfId="0" applyBorder="1"/>
    <xf numFmtId="0" fontId="0" fillId="0" borderId="2" xfId="0" applyBorder="1"/>
    <xf numFmtId="0" fontId="0" fillId="0" borderId="3" xfId="0" applyBorder="1"/>
    <xf numFmtId="0" fontId="7" fillId="0" borderId="22" xfId="0" applyFont="1" applyBorder="1"/>
    <xf numFmtId="0" fontId="4" fillId="0" borderId="22" xfId="0" applyFont="1" applyBorder="1"/>
    <xf numFmtId="11" fontId="0" fillId="11" borderId="0" xfId="0" applyNumberFormat="1" applyFill="1" applyBorder="1"/>
    <xf numFmtId="0" fontId="0" fillId="10" borderId="0" xfId="0" applyFill="1" applyBorder="1"/>
    <xf numFmtId="0" fontId="0" fillId="0" borderId="0" xfId="0" applyBorder="1" applyAlignment="1">
      <alignment horizontal="right"/>
    </xf>
    <xf numFmtId="0" fontId="0" fillId="0" borderId="25" xfId="0" applyBorder="1" applyAlignment="1">
      <alignment horizontal="right"/>
    </xf>
    <xf numFmtId="0" fontId="7" fillId="0" borderId="0" xfId="0" applyFont="1" applyBorder="1"/>
    <xf numFmtId="0" fontId="4" fillId="0" borderId="0" xfId="0" applyFont="1" applyBorder="1"/>
    <xf numFmtId="11" fontId="7" fillId="0" borderId="25" xfId="0" applyNumberFormat="1" applyFont="1" applyBorder="1"/>
    <xf numFmtId="11" fontId="0" fillId="4" borderId="0" xfId="0" applyNumberFormat="1" applyFill="1" applyBorder="1"/>
    <xf numFmtId="0" fontId="4" fillId="0" borderId="0" xfId="0" applyFont="1" applyFill="1" applyBorder="1" applyAlignment="1"/>
    <xf numFmtId="0" fontId="8" fillId="0" borderId="0" xfId="0" applyFont="1" applyFill="1" applyBorder="1" applyAlignment="1"/>
    <xf numFmtId="0" fontId="8" fillId="0" borderId="0" xfId="0" applyFont="1" applyFill="1" applyBorder="1"/>
    <xf numFmtId="0" fontId="17" fillId="3" borderId="0" xfId="0" applyFont="1" applyFill="1" applyBorder="1" applyProtection="1"/>
    <xf numFmtId="0" fontId="17" fillId="3" borderId="0" xfId="0" applyFont="1" applyFill="1" applyProtection="1"/>
    <xf numFmtId="0" fontId="18" fillId="8" borderId="0" xfId="0" applyFont="1" applyFill="1" applyBorder="1" applyAlignment="1" applyProtection="1"/>
    <xf numFmtId="0" fontId="18" fillId="8" borderId="0" xfId="0" applyFont="1" applyFill="1" applyBorder="1" applyAlignment="1" applyProtection="1">
      <alignment horizontal="right"/>
    </xf>
    <xf numFmtId="0" fontId="17" fillId="8" borderId="0" xfId="0" applyFont="1" applyFill="1" applyBorder="1" applyProtection="1"/>
    <xf numFmtId="0" fontId="21" fillId="0" borderId="0" xfId="0" applyFont="1" applyBorder="1"/>
    <xf numFmtId="0" fontId="4" fillId="0" borderId="0" xfId="0" applyFont="1" applyBorder="1" applyAlignment="1">
      <alignment horizontal="center"/>
    </xf>
    <xf numFmtId="0" fontId="0" fillId="0" borderId="1" xfId="0" applyBorder="1"/>
    <xf numFmtId="0" fontId="0" fillId="0" borderId="2" xfId="0" applyBorder="1" applyAlignment="1">
      <alignment horizontal="right"/>
    </xf>
    <xf numFmtId="0" fontId="22" fillId="0" borderId="0" xfId="0" applyFont="1" applyBorder="1"/>
    <xf numFmtId="0" fontId="4" fillId="0" borderId="22" xfId="0" applyFont="1" applyFill="1" applyBorder="1"/>
    <xf numFmtId="0" fontId="8" fillId="0" borderId="22" xfId="0" applyFont="1" applyFill="1" applyBorder="1"/>
    <xf numFmtId="0" fontId="0" fillId="0" borderId="2" xfId="0" applyBorder="1" applyAlignment="1"/>
    <xf numFmtId="0" fontId="27" fillId="0" borderId="0" xfId="0" applyFont="1" applyBorder="1"/>
    <xf numFmtId="0" fontId="27" fillId="4" borderId="0" xfId="0" applyFont="1" applyFill="1" applyBorder="1"/>
    <xf numFmtId="0" fontId="0" fillId="0" borderId="0" xfId="0" applyFont="1" applyFill="1" applyBorder="1"/>
    <xf numFmtId="0" fontId="21" fillId="0" borderId="32" xfId="0" applyFont="1" applyBorder="1"/>
    <xf numFmtId="0" fontId="0" fillId="0" borderId="27" xfId="0" applyBorder="1"/>
    <xf numFmtId="0" fontId="0" fillId="0" borderId="29" xfId="0" applyBorder="1"/>
    <xf numFmtId="0" fontId="8" fillId="0" borderId="33" xfId="0" applyFont="1" applyBorder="1"/>
    <xf numFmtId="0" fontId="0" fillId="0" borderId="30" xfId="0" applyBorder="1"/>
    <xf numFmtId="0" fontId="27" fillId="0" borderId="33" xfId="0" applyFont="1" applyBorder="1"/>
    <xf numFmtId="0" fontId="27" fillId="0" borderId="33" xfId="0" applyFont="1" applyFill="1" applyBorder="1"/>
    <xf numFmtId="0" fontId="27" fillId="0" borderId="34" xfId="0" applyFont="1" applyBorder="1"/>
    <xf numFmtId="0" fontId="27" fillId="0" borderId="28" xfId="0" applyFont="1" applyBorder="1"/>
    <xf numFmtId="0" fontId="0" fillId="0" borderId="28" xfId="0" applyBorder="1"/>
    <xf numFmtId="0" fontId="0" fillId="0" borderId="31" xfId="0" applyBorder="1"/>
    <xf numFmtId="0" fontId="19" fillId="8" borderId="0" xfId="0" applyFont="1" applyFill="1" applyBorder="1" applyProtection="1"/>
    <xf numFmtId="2" fontId="17" fillId="8" borderId="0" xfId="0" applyNumberFormat="1" applyFont="1" applyFill="1" applyBorder="1" applyProtection="1"/>
    <xf numFmtId="165" fontId="17" fillId="8" borderId="0" xfId="0" applyNumberFormat="1" applyFont="1" applyFill="1" applyBorder="1" applyProtection="1"/>
    <xf numFmtId="0" fontId="17" fillId="12" borderId="0" xfId="0" applyFont="1" applyFill="1" applyProtection="1"/>
    <xf numFmtId="0" fontId="3" fillId="0" borderId="0" xfId="0" applyFont="1"/>
    <xf numFmtId="0" fontId="3" fillId="0" borderId="0" xfId="0" applyFont="1" applyBorder="1"/>
    <xf numFmtId="0" fontId="0" fillId="0" borderId="0" xfId="0" applyBorder="1" applyAlignment="1">
      <alignment horizontal="left"/>
    </xf>
    <xf numFmtId="0" fontId="3" fillId="0" borderId="2" xfId="0" applyFont="1" applyBorder="1"/>
    <xf numFmtId="0" fontId="3" fillId="0" borderId="25" xfId="0" applyFont="1" applyBorder="1"/>
    <xf numFmtId="0" fontId="30" fillId="8" borderId="0" xfId="0" applyFont="1" applyFill="1" applyBorder="1" applyAlignment="1" applyProtection="1"/>
    <xf numFmtId="0" fontId="17" fillId="12" borderId="0" xfId="0" applyFont="1" applyFill="1" applyBorder="1" applyProtection="1"/>
    <xf numFmtId="0" fontId="20" fillId="15" borderId="0" xfId="0" applyFont="1" applyFill="1" applyBorder="1" applyAlignment="1" applyProtection="1">
      <alignment vertical="center"/>
    </xf>
    <xf numFmtId="0" fontId="0" fillId="14" borderId="0" xfId="0" applyFill="1"/>
    <xf numFmtId="0" fontId="42" fillId="14" borderId="0" xfId="0" applyFont="1" applyFill="1"/>
    <xf numFmtId="0" fontId="4" fillId="8" borderId="0" xfId="0" applyFont="1" applyFill="1" applyBorder="1" applyAlignment="1" applyProtection="1">
      <alignment horizontal="right"/>
    </xf>
    <xf numFmtId="0" fontId="3" fillId="8" borderId="0" xfId="0" applyFont="1" applyFill="1" applyBorder="1" applyAlignment="1" applyProtection="1">
      <alignment horizontal="right"/>
    </xf>
    <xf numFmtId="0" fontId="3" fillId="8" borderId="22" xfId="0" applyFont="1" applyFill="1" applyBorder="1" applyProtection="1"/>
    <xf numFmtId="0" fontId="3" fillId="8" borderId="0" xfId="0" applyFont="1" applyFill="1" applyBorder="1" applyProtection="1"/>
    <xf numFmtId="0" fontId="45" fillId="8" borderId="0" xfId="0" applyFont="1" applyFill="1" applyBorder="1" applyProtection="1"/>
    <xf numFmtId="0" fontId="46" fillId="8" borderId="0" xfId="0" applyFont="1" applyFill="1" applyBorder="1" applyProtection="1"/>
    <xf numFmtId="0" fontId="47" fillId="8" borderId="0" xfId="0" applyFont="1" applyFill="1" applyBorder="1" applyAlignment="1" applyProtection="1"/>
    <xf numFmtId="0" fontId="4" fillId="8" borderId="0" xfId="0" applyFont="1" applyFill="1" applyBorder="1" applyAlignment="1" applyProtection="1"/>
    <xf numFmtId="167" fontId="4" fillId="8" borderId="0" xfId="0" applyNumberFormat="1" applyFont="1" applyFill="1" applyBorder="1" applyAlignment="1" applyProtection="1"/>
    <xf numFmtId="0" fontId="47" fillId="8" borderId="0" xfId="0" applyFont="1" applyFill="1" applyBorder="1" applyProtection="1"/>
    <xf numFmtId="0" fontId="4" fillId="8" borderId="0" xfId="0" applyFont="1" applyFill="1" applyBorder="1" applyProtection="1"/>
    <xf numFmtId="0" fontId="4" fillId="8" borderId="22" xfId="0" applyFont="1" applyFill="1" applyBorder="1" applyProtection="1"/>
    <xf numFmtId="0" fontId="4" fillId="15" borderId="0" xfId="0" applyFont="1" applyFill="1" applyBorder="1" applyProtection="1">
      <protection locked="0"/>
    </xf>
    <xf numFmtId="1" fontId="44" fillId="8" borderId="0" xfId="0" applyNumberFormat="1" applyFont="1" applyFill="1" applyBorder="1" applyAlignment="1" applyProtection="1">
      <alignment horizontal="right"/>
    </xf>
    <xf numFmtId="0" fontId="50" fillId="8" borderId="0" xfId="0" applyFont="1" applyFill="1" applyBorder="1" applyAlignment="1" applyProtection="1">
      <alignment horizontal="right"/>
    </xf>
    <xf numFmtId="0" fontId="3" fillId="8" borderId="24" xfId="0" applyFont="1" applyFill="1" applyBorder="1" applyProtection="1"/>
    <xf numFmtId="0" fontId="3" fillId="8" borderId="25" xfId="0" applyFont="1" applyFill="1" applyBorder="1" applyProtection="1"/>
    <xf numFmtId="0" fontId="3" fillId="8" borderId="23" xfId="0" applyFont="1" applyFill="1" applyBorder="1" applyProtection="1"/>
    <xf numFmtId="0" fontId="3" fillId="8" borderId="39" xfId="0" applyFont="1" applyFill="1" applyBorder="1" applyProtection="1"/>
    <xf numFmtId="0" fontId="3" fillId="8" borderId="40" xfId="0" applyFont="1" applyFill="1" applyBorder="1" applyProtection="1"/>
    <xf numFmtId="0" fontId="22" fillId="8" borderId="22" xfId="0" applyFont="1" applyFill="1" applyBorder="1" applyAlignment="1" applyProtection="1">
      <alignment vertical="center"/>
    </xf>
    <xf numFmtId="0" fontId="17" fillId="3" borderId="22" xfId="0" applyFont="1" applyFill="1" applyBorder="1" applyProtection="1"/>
    <xf numFmtId="0" fontId="4" fillId="8" borderId="39" xfId="0" applyFont="1" applyFill="1" applyBorder="1" applyProtection="1"/>
    <xf numFmtId="0" fontId="3" fillId="0" borderId="1" xfId="0" applyFont="1" applyBorder="1"/>
    <xf numFmtId="0" fontId="3" fillId="0" borderId="22" xfId="0" applyFont="1" applyBorder="1"/>
    <xf numFmtId="0" fontId="3" fillId="0" borderId="0" xfId="0" applyFont="1" applyFill="1" applyBorder="1"/>
    <xf numFmtId="2" fontId="0" fillId="0" borderId="0" xfId="0" applyNumberFormat="1" applyBorder="1" applyAlignment="1">
      <alignment horizontal="right"/>
    </xf>
    <xf numFmtId="0" fontId="53" fillId="0" borderId="0" xfId="0" applyFont="1" applyBorder="1"/>
    <xf numFmtId="0" fontId="3" fillId="8" borderId="0" xfId="4" applyFill="1"/>
    <xf numFmtId="0" fontId="11" fillId="8" borderId="0" xfId="4" applyFont="1" applyFill="1" applyAlignment="1">
      <alignment vertical="center"/>
    </xf>
    <xf numFmtId="0" fontId="3" fillId="16" borderId="17" xfId="4" applyFill="1" applyBorder="1" applyAlignment="1">
      <alignment horizontal="center" vertical="center"/>
    </xf>
    <xf numFmtId="0" fontId="3" fillId="8" borderId="0" xfId="4" applyFill="1" applyAlignment="1">
      <alignment vertical="center"/>
    </xf>
    <xf numFmtId="0" fontId="3" fillId="17" borderId="17" xfId="4" applyFill="1" applyBorder="1" applyAlignment="1">
      <alignment horizontal="center" vertical="center"/>
    </xf>
    <xf numFmtId="0" fontId="3" fillId="17" borderId="11" xfId="4" applyFill="1" applyBorder="1" applyAlignment="1">
      <alignment vertical="center" wrapText="1"/>
    </xf>
    <xf numFmtId="170" fontId="3" fillId="17" borderId="11" xfId="4" applyNumberFormat="1" applyFill="1" applyBorder="1" applyAlignment="1">
      <alignment horizontal="center" vertical="center"/>
    </xf>
    <xf numFmtId="0" fontId="3" fillId="17" borderId="11" xfId="4" quotePrefix="1" applyFill="1" applyBorder="1" applyAlignment="1">
      <alignment horizontal="left" vertical="center"/>
    </xf>
    <xf numFmtId="0" fontId="3" fillId="17" borderId="11" xfId="4" applyFill="1" applyBorder="1" applyAlignment="1">
      <alignment horizontal="left" vertical="center"/>
    </xf>
    <xf numFmtId="0" fontId="3" fillId="12" borderId="17" xfId="4" applyFill="1" applyBorder="1" applyAlignment="1">
      <alignment horizontal="center" vertical="center"/>
    </xf>
    <xf numFmtId="0" fontId="3" fillId="12" borderId="11" xfId="4" applyFill="1" applyBorder="1" applyAlignment="1">
      <alignment vertical="center" wrapText="1"/>
    </xf>
    <xf numFmtId="170" fontId="3" fillId="12" borderId="11" xfId="4" applyNumberFormat="1" applyFill="1" applyBorder="1" applyAlignment="1">
      <alignment horizontal="center" vertical="center"/>
    </xf>
    <xf numFmtId="0" fontId="3" fillId="12" borderId="11" xfId="4" quotePrefix="1" applyFill="1" applyBorder="1" applyAlignment="1">
      <alignment horizontal="left" vertical="center"/>
    </xf>
    <xf numFmtId="0" fontId="3" fillId="12" borderId="11" xfId="4" applyFill="1" applyBorder="1" applyAlignment="1">
      <alignment horizontal="left" vertical="center"/>
    </xf>
    <xf numFmtId="0" fontId="3" fillId="16" borderId="11" xfId="4" applyFill="1" applyBorder="1" applyAlignment="1">
      <alignment vertical="center" wrapText="1"/>
    </xf>
    <xf numFmtId="0" fontId="3" fillId="16" borderId="11" xfId="4" quotePrefix="1" applyFill="1" applyBorder="1" applyAlignment="1">
      <alignment horizontal="left" vertical="center"/>
    </xf>
    <xf numFmtId="0" fontId="3" fillId="16" borderId="11" xfId="4" applyFill="1" applyBorder="1" applyAlignment="1">
      <alignment horizontal="left" vertical="center"/>
    </xf>
    <xf numFmtId="171" fontId="3" fillId="16" borderId="11" xfId="4" applyNumberFormat="1" applyFill="1" applyBorder="1" applyAlignment="1">
      <alignment horizontal="center" vertical="center"/>
    </xf>
    <xf numFmtId="0" fontId="3" fillId="12" borderId="0" xfId="4" applyFill="1"/>
    <xf numFmtId="1" fontId="0" fillId="4" borderId="0" xfId="0" applyNumberFormat="1" applyFill="1" applyBorder="1"/>
    <xf numFmtId="0" fontId="3" fillId="8" borderId="0" xfId="0" applyFont="1" applyFill="1" applyBorder="1" applyAlignment="1" applyProtection="1">
      <alignment vertical="center"/>
    </xf>
    <xf numFmtId="0" fontId="3" fillId="8" borderId="22" xfId="0" applyFont="1" applyFill="1" applyBorder="1" applyAlignment="1" applyProtection="1">
      <alignment vertical="center"/>
    </xf>
    <xf numFmtId="0" fontId="3" fillId="8" borderId="0" xfId="0" applyFont="1" applyFill="1" applyBorder="1" applyAlignment="1" applyProtection="1">
      <alignment horizontal="right" vertical="center"/>
    </xf>
    <xf numFmtId="0" fontId="3" fillId="8" borderId="23" xfId="0" applyFont="1" applyFill="1" applyBorder="1" applyAlignment="1" applyProtection="1">
      <alignment vertical="center"/>
    </xf>
    <xf numFmtId="0" fontId="3" fillId="8" borderId="24" xfId="0" applyFont="1" applyFill="1" applyBorder="1" applyAlignment="1" applyProtection="1">
      <alignment vertical="center"/>
    </xf>
    <xf numFmtId="0" fontId="3" fillId="8" borderId="25" xfId="0" applyFont="1" applyFill="1" applyBorder="1" applyAlignment="1" applyProtection="1">
      <alignment vertical="center"/>
    </xf>
    <xf numFmtId="0" fontId="3" fillId="8" borderId="26" xfId="0" applyFont="1" applyFill="1" applyBorder="1" applyAlignment="1" applyProtection="1">
      <alignment vertical="center"/>
    </xf>
    <xf numFmtId="0" fontId="3" fillId="8" borderId="37" xfId="0" applyFont="1" applyFill="1" applyBorder="1" applyAlignment="1" applyProtection="1">
      <alignment vertical="center"/>
    </xf>
    <xf numFmtId="0" fontId="3" fillId="8" borderId="2" xfId="0" applyFont="1" applyFill="1" applyBorder="1" applyAlignment="1" applyProtection="1">
      <alignment vertical="center"/>
    </xf>
    <xf numFmtId="0" fontId="3" fillId="8" borderId="2" xfId="0" applyFont="1" applyFill="1" applyBorder="1" applyAlignment="1" applyProtection="1">
      <alignment horizontal="right" vertical="center"/>
    </xf>
    <xf numFmtId="0" fontId="50" fillId="8" borderId="2" xfId="0" applyFont="1" applyFill="1" applyBorder="1" applyAlignment="1" applyProtection="1">
      <alignment horizontal="right" vertical="center"/>
    </xf>
    <xf numFmtId="0" fontId="4" fillId="15" borderId="2" xfId="0" applyNumberFormat="1" applyFont="1" applyFill="1" applyBorder="1" applyAlignment="1" applyProtection="1">
      <alignment vertical="center"/>
      <protection locked="0"/>
    </xf>
    <xf numFmtId="0" fontId="50" fillId="8" borderId="0" xfId="0" applyFont="1" applyFill="1" applyBorder="1" applyAlignment="1" applyProtection="1">
      <alignment horizontal="right" vertical="center"/>
    </xf>
    <xf numFmtId="0" fontId="4" fillId="15" borderId="0" xfId="0" applyNumberFormat="1" applyFont="1" applyFill="1" applyBorder="1" applyAlignment="1" applyProtection="1">
      <alignment vertical="center"/>
      <protection locked="0"/>
    </xf>
    <xf numFmtId="0" fontId="4" fillId="8" borderId="23" xfId="0" applyFont="1" applyFill="1" applyBorder="1" applyAlignment="1" applyProtection="1">
      <alignment vertical="center"/>
    </xf>
    <xf numFmtId="1" fontId="3" fillId="8" borderId="0" xfId="0" applyNumberFormat="1" applyFont="1" applyFill="1" applyBorder="1" applyAlignment="1" applyProtection="1">
      <alignment horizontal="right" vertical="center"/>
    </xf>
    <xf numFmtId="0" fontId="50" fillId="12" borderId="0" xfId="0" applyFont="1" applyFill="1" applyBorder="1" applyAlignment="1" applyProtection="1">
      <alignment horizontal="right" vertical="center"/>
    </xf>
    <xf numFmtId="0" fontId="4" fillId="15" borderId="0" xfId="0" applyFont="1" applyFill="1" applyBorder="1" applyAlignment="1" applyProtection="1">
      <alignment vertical="center"/>
      <protection locked="0"/>
    </xf>
    <xf numFmtId="0" fontId="4" fillId="8" borderId="0" xfId="0" applyFont="1" applyFill="1" applyBorder="1" applyAlignment="1" applyProtection="1">
      <alignment vertical="center"/>
    </xf>
    <xf numFmtId="0" fontId="4" fillId="8" borderId="0" xfId="0" applyFont="1" applyFill="1" applyBorder="1" applyAlignment="1" applyProtection="1">
      <alignment horizontal="right" vertical="center"/>
    </xf>
    <xf numFmtId="0" fontId="4" fillId="15" borderId="0" xfId="0" applyNumberFormat="1" applyFont="1" applyFill="1" applyBorder="1" applyAlignment="1" applyProtection="1">
      <alignment horizontal="right" vertical="center"/>
      <protection locked="0"/>
    </xf>
    <xf numFmtId="0" fontId="3" fillId="8" borderId="39" xfId="0" applyFont="1" applyFill="1" applyBorder="1" applyAlignment="1" applyProtection="1">
      <alignment vertical="center"/>
    </xf>
    <xf numFmtId="0" fontId="0" fillId="0" borderId="35" xfId="0" applyBorder="1"/>
    <xf numFmtId="0" fontId="0" fillId="18" borderId="0" xfId="0" applyFill="1" applyBorder="1"/>
    <xf numFmtId="0" fontId="3" fillId="0" borderId="0" xfId="0" applyFont="1" applyBorder="1" applyAlignment="1">
      <alignment horizontal="right"/>
    </xf>
    <xf numFmtId="0" fontId="4" fillId="0" borderId="35" xfId="0" applyFont="1" applyBorder="1" applyAlignment="1">
      <alignment horizontal="right"/>
    </xf>
    <xf numFmtId="0" fontId="4" fillId="0" borderId="25" xfId="0" applyFont="1" applyBorder="1" applyAlignment="1">
      <alignment horizontal="right"/>
    </xf>
    <xf numFmtId="0" fontId="4" fillId="0" borderId="0" xfId="0" applyFont="1" applyAlignment="1">
      <alignment horizontal="right"/>
    </xf>
    <xf numFmtId="0" fontId="4" fillId="0" borderId="35" xfId="0" applyFont="1" applyBorder="1"/>
    <xf numFmtId="0" fontId="4" fillId="0" borderId="25" xfId="0" applyFont="1" applyBorder="1"/>
    <xf numFmtId="0" fontId="4" fillId="0" borderId="0" xfId="0" applyFont="1" applyBorder="1" applyAlignment="1">
      <alignment horizontal="left"/>
    </xf>
    <xf numFmtId="166" fontId="7" fillId="10" borderId="0" xfId="0" applyNumberFormat="1" applyFont="1" applyFill="1" applyBorder="1"/>
    <xf numFmtId="2" fontId="0" fillId="18" borderId="0" xfId="0" applyNumberFormat="1" applyFill="1" applyBorder="1"/>
    <xf numFmtId="1" fontId="0" fillId="10" borderId="0" xfId="0" applyNumberFormat="1" applyFill="1" applyBorder="1"/>
    <xf numFmtId="0" fontId="3" fillId="0" borderId="35" xfId="0" applyFont="1" applyFill="1" applyBorder="1"/>
    <xf numFmtId="0" fontId="3" fillId="0" borderId="24" xfId="0" applyFont="1" applyBorder="1"/>
    <xf numFmtId="0" fontId="7" fillId="0" borderId="25" xfId="0" applyFont="1" applyFill="1" applyBorder="1"/>
    <xf numFmtId="167" fontId="0" fillId="0" borderId="0" xfId="0" applyNumberFormat="1" applyFill="1" applyBorder="1"/>
    <xf numFmtId="0" fontId="4" fillId="0" borderId="45" xfId="0" applyFont="1" applyFill="1" applyBorder="1"/>
    <xf numFmtId="0" fontId="0" fillId="20" borderId="0" xfId="0" applyFill="1" applyBorder="1"/>
    <xf numFmtId="0" fontId="3" fillId="0" borderId="0" xfId="4"/>
    <xf numFmtId="0" fontId="3" fillId="0" borderId="11" xfId="4" applyBorder="1"/>
    <xf numFmtId="2" fontId="3" fillId="0" borderId="0" xfId="4" applyNumberFormat="1"/>
    <xf numFmtId="166" fontId="0" fillId="0" borderId="0" xfId="0" applyNumberFormat="1"/>
    <xf numFmtId="1" fontId="7" fillId="10" borderId="0" xfId="0" applyNumberFormat="1" applyFont="1" applyFill="1" applyBorder="1"/>
    <xf numFmtId="0" fontId="3" fillId="0" borderId="49" xfId="0" applyFont="1" applyBorder="1"/>
    <xf numFmtId="166" fontId="3" fillId="0" borderId="50" xfId="0" applyNumberFormat="1" applyFont="1" applyFill="1" applyBorder="1"/>
    <xf numFmtId="11" fontId="7" fillId="0" borderId="50" xfId="0" applyNumberFormat="1" applyFont="1" applyBorder="1"/>
    <xf numFmtId="0" fontId="53" fillId="0" borderId="50" xfId="0" applyFont="1" applyBorder="1"/>
    <xf numFmtId="0" fontId="49" fillId="0" borderId="0" xfId="0" applyFont="1"/>
    <xf numFmtId="0" fontId="0" fillId="0" borderId="39" xfId="0" applyBorder="1"/>
    <xf numFmtId="0" fontId="50" fillId="0" borderId="0" xfId="0" applyFont="1"/>
    <xf numFmtId="0" fontId="48" fillId="0" borderId="0" xfId="0" applyFont="1" applyFill="1" applyBorder="1"/>
    <xf numFmtId="165" fontId="7" fillId="10" borderId="0" xfId="0" applyNumberFormat="1" applyFont="1" applyFill="1" applyBorder="1"/>
    <xf numFmtId="0" fontId="0" fillId="20" borderId="0" xfId="0" applyFill="1" applyBorder="1" applyAlignment="1">
      <alignment horizontal="right"/>
    </xf>
    <xf numFmtId="166" fontId="27" fillId="18" borderId="0" xfId="0" applyNumberFormat="1" applyFont="1" applyFill="1" applyBorder="1"/>
    <xf numFmtId="0" fontId="0" fillId="19" borderId="0" xfId="0" applyFill="1" applyBorder="1" applyAlignment="1">
      <alignment horizontal="right"/>
    </xf>
    <xf numFmtId="2" fontId="0" fillId="18" borderId="0" xfId="0" applyNumberFormat="1" applyFill="1" applyBorder="1" applyAlignment="1">
      <alignment horizontal="right"/>
    </xf>
    <xf numFmtId="0" fontId="3" fillId="0" borderId="11" xfId="4" applyFill="1" applyBorder="1"/>
    <xf numFmtId="0" fontId="3" fillId="0" borderId="0" xfId="4" applyFont="1"/>
    <xf numFmtId="166" fontId="3" fillId="0" borderId="11" xfId="4" applyNumberFormat="1" applyBorder="1"/>
    <xf numFmtId="0" fontId="0" fillId="19" borderId="0" xfId="0" applyFill="1" applyBorder="1"/>
    <xf numFmtId="2" fontId="3" fillId="0" borderId="0" xfId="0" applyNumberFormat="1" applyFont="1" applyFill="1" applyBorder="1"/>
    <xf numFmtId="0" fontId="3" fillId="20" borderId="0" xfId="0" applyFont="1" applyFill="1" applyBorder="1"/>
    <xf numFmtId="0" fontId="3" fillId="0" borderId="8" xfId="4" applyBorder="1"/>
    <xf numFmtId="176" fontId="0" fillId="10" borderId="0" xfId="0" applyNumberFormat="1" applyFill="1" applyBorder="1"/>
    <xf numFmtId="176" fontId="0" fillId="4" borderId="25" xfId="0" applyNumberFormat="1" applyFill="1" applyBorder="1"/>
    <xf numFmtId="1" fontId="3" fillId="0" borderId="0" xfId="4" applyNumberFormat="1"/>
    <xf numFmtId="0" fontId="0" fillId="0" borderId="0" xfId="0" applyNumberFormat="1" applyBorder="1"/>
    <xf numFmtId="0" fontId="0" fillId="0" borderId="0" xfId="0" applyBorder="1" applyAlignment="1"/>
    <xf numFmtId="0" fontId="15" fillId="0" borderId="33" xfId="0" applyFont="1" applyBorder="1"/>
    <xf numFmtId="0" fontId="15" fillId="0" borderId="0" xfId="0" applyFont="1" applyBorder="1"/>
    <xf numFmtId="0" fontId="54" fillId="3" borderId="43" xfId="4" applyFont="1" applyFill="1" applyBorder="1" applyAlignment="1">
      <alignment horizontal="center" vertical="center"/>
    </xf>
    <xf numFmtId="0" fontId="54" fillId="3" borderId="44" xfId="4" applyFont="1" applyFill="1" applyBorder="1" applyAlignment="1">
      <alignment horizontal="center" vertical="center"/>
    </xf>
    <xf numFmtId="11" fontId="49" fillId="0" borderId="0" xfId="0" applyNumberFormat="1" applyFont="1"/>
    <xf numFmtId="0" fontId="59" fillId="0" borderId="0" xfId="0" applyFont="1" applyFill="1" applyBorder="1"/>
    <xf numFmtId="0" fontId="3" fillId="8" borderId="35" xfId="0" applyFont="1" applyFill="1" applyBorder="1" applyAlignment="1" applyProtection="1">
      <alignment horizontal="right" vertical="center"/>
    </xf>
    <xf numFmtId="0" fontId="3" fillId="0" borderId="24" xfId="0" applyFont="1" applyFill="1" applyBorder="1"/>
    <xf numFmtId="0" fontId="3" fillId="8" borderId="39" xfId="0" applyFont="1" applyFill="1" applyBorder="1" applyAlignment="1" applyProtection="1">
      <alignment horizontal="right"/>
    </xf>
    <xf numFmtId="1" fontId="3" fillId="8" borderId="39" xfId="0" applyNumberFormat="1" applyFont="1" applyFill="1" applyBorder="1" applyProtection="1"/>
    <xf numFmtId="166" fontId="17" fillId="12" borderId="0" xfId="0" applyNumberFormat="1" applyFont="1" applyFill="1" applyBorder="1" applyProtection="1"/>
    <xf numFmtId="0" fontId="3" fillId="12" borderId="0" xfId="0" applyNumberFormat="1" applyFont="1" applyFill="1" applyBorder="1" applyAlignment="1" applyProtection="1">
      <alignment horizontal="right" vertical="center"/>
    </xf>
    <xf numFmtId="165" fontId="17" fillId="12" borderId="0" xfId="0" applyNumberFormat="1" applyFont="1" applyFill="1" applyBorder="1" applyProtection="1"/>
    <xf numFmtId="0" fontId="3" fillId="12" borderId="0" xfId="0" applyFont="1" applyFill="1" applyBorder="1" applyAlignment="1" applyProtection="1">
      <alignment vertical="center"/>
    </xf>
    <xf numFmtId="0" fontId="4" fillId="12" borderId="0" xfId="0" applyFont="1" applyFill="1" applyBorder="1" applyAlignment="1" applyProtection="1">
      <alignment vertical="center"/>
    </xf>
    <xf numFmtId="0" fontId="61" fillId="8" borderId="0" xfId="0" applyFont="1" applyFill="1" applyBorder="1" applyAlignment="1" applyProtection="1">
      <alignment horizontal="right" vertical="center"/>
    </xf>
    <xf numFmtId="165" fontId="3" fillId="0" borderId="0" xfId="4" applyNumberFormat="1"/>
    <xf numFmtId="166" fontId="3" fillId="0" borderId="0" xfId="4" applyNumberFormat="1"/>
    <xf numFmtId="164" fontId="3" fillId="0" borderId="0" xfId="4" applyNumberFormat="1"/>
    <xf numFmtId="10" fontId="3" fillId="0" borderId="0" xfId="4" applyNumberFormat="1"/>
    <xf numFmtId="0" fontId="4" fillId="4" borderId="49" xfId="4" applyFont="1" applyFill="1" applyBorder="1" applyAlignment="1"/>
    <xf numFmtId="0" fontId="7" fillId="4" borderId="35" xfId="4" applyFont="1" applyFill="1" applyBorder="1" applyAlignment="1"/>
    <xf numFmtId="165" fontId="3" fillId="4" borderId="52" xfId="4" applyNumberFormat="1" applyFill="1" applyBorder="1"/>
    <xf numFmtId="165" fontId="4" fillId="4" borderId="49" xfId="4" applyNumberFormat="1" applyFont="1" applyFill="1" applyBorder="1" applyAlignment="1"/>
    <xf numFmtId="165" fontId="7" fillId="4" borderId="50" xfId="4" applyNumberFormat="1" applyFont="1" applyFill="1" applyBorder="1" applyAlignment="1"/>
    <xf numFmtId="0" fontId="7" fillId="4" borderId="50" xfId="4" applyFont="1" applyFill="1" applyBorder="1" applyAlignment="1"/>
    <xf numFmtId="165" fontId="15" fillId="4" borderId="52" xfId="4" applyNumberFormat="1" applyFont="1" applyFill="1" applyBorder="1"/>
    <xf numFmtId="166" fontId="4" fillId="4" borderId="50" xfId="4" applyNumberFormat="1" applyFont="1" applyFill="1" applyBorder="1" applyAlignment="1">
      <alignment horizontal="left"/>
    </xf>
    <xf numFmtId="165" fontId="7" fillId="4" borderId="50" xfId="4" applyNumberFormat="1" applyFont="1" applyFill="1" applyBorder="1" applyAlignment="1">
      <alignment horizontal="center"/>
    </xf>
    <xf numFmtId="165" fontId="4" fillId="4" borderId="49" xfId="4" applyNumberFormat="1" applyFont="1" applyFill="1" applyBorder="1"/>
    <xf numFmtId="164" fontId="3" fillId="4" borderId="50" xfId="4" applyNumberFormat="1" applyFill="1" applyBorder="1"/>
    <xf numFmtId="164" fontId="3" fillId="4" borderId="52" xfId="4" applyNumberFormat="1" applyFill="1" applyBorder="1"/>
    <xf numFmtId="165" fontId="4" fillId="4" borderId="41" xfId="4" applyNumberFormat="1" applyFont="1" applyFill="1" applyBorder="1"/>
    <xf numFmtId="165" fontId="3" fillId="4" borderId="42" xfId="4" applyNumberFormat="1" applyFill="1" applyBorder="1"/>
    <xf numFmtId="165" fontId="4" fillId="4" borderId="41" xfId="4" applyNumberFormat="1" applyFont="1" applyFill="1" applyBorder="1" applyAlignment="1">
      <alignment horizontal="left"/>
    </xf>
    <xf numFmtId="165" fontId="4" fillId="4" borderId="42" xfId="4" applyNumberFormat="1" applyFont="1" applyFill="1" applyBorder="1" applyAlignment="1">
      <alignment horizontal="left"/>
    </xf>
    <xf numFmtId="165" fontId="3" fillId="4" borderId="54" xfId="4" applyNumberFormat="1" applyFill="1" applyBorder="1"/>
    <xf numFmtId="0" fontId="16" fillId="3" borderId="4" xfId="4" applyFont="1" applyFill="1" applyBorder="1" applyAlignment="1">
      <alignment vertical="center"/>
    </xf>
    <xf numFmtId="0" fontId="16" fillId="3" borderId="4" xfId="4" applyFont="1" applyFill="1" applyBorder="1" applyAlignment="1"/>
    <xf numFmtId="0" fontId="12" fillId="3" borderId="0" xfId="4" applyFont="1" applyFill="1"/>
    <xf numFmtId="0" fontId="3" fillId="3" borderId="0" xfId="4" applyFill="1"/>
    <xf numFmtId="0" fontId="4" fillId="2" borderId="5" xfId="4" applyFont="1" applyFill="1" applyBorder="1" applyAlignment="1">
      <alignment horizontal="center" vertical="center" wrapText="1"/>
    </xf>
    <xf numFmtId="0" fontId="4" fillId="2" borderId="6" xfId="4" applyFont="1" applyFill="1" applyBorder="1" applyAlignment="1">
      <alignment horizontal="center" vertical="center" wrapText="1"/>
    </xf>
    <xf numFmtId="165" fontId="4" fillId="2" borderId="7" xfId="4" applyNumberFormat="1" applyFont="1" applyFill="1" applyBorder="1" applyAlignment="1">
      <alignment horizontal="center" vertical="center" wrapText="1"/>
    </xf>
    <xf numFmtId="165" fontId="4" fillId="2" borderId="6" xfId="4" applyNumberFormat="1" applyFont="1" applyFill="1" applyBorder="1" applyAlignment="1">
      <alignment horizontal="center" vertical="center" wrapText="1"/>
    </xf>
    <xf numFmtId="1" fontId="4" fillId="2" borderId="55" xfId="4" applyNumberFormat="1" applyFont="1" applyFill="1" applyBorder="1" applyAlignment="1">
      <alignment horizontal="center" vertical="center" wrapText="1"/>
    </xf>
    <xf numFmtId="1" fontId="4" fillId="2" borderId="6" xfId="4" applyNumberFormat="1" applyFont="1" applyFill="1" applyBorder="1" applyAlignment="1">
      <alignment horizontal="center" vertical="center" wrapText="1"/>
    </xf>
    <xf numFmtId="165" fontId="4" fillId="2" borderId="5" xfId="4" applyNumberFormat="1" applyFont="1" applyFill="1" applyBorder="1" applyAlignment="1">
      <alignment horizontal="center" vertical="center" wrapText="1"/>
    </xf>
    <xf numFmtId="166" fontId="4" fillId="2" borderId="20" xfId="4" applyNumberFormat="1" applyFont="1" applyFill="1" applyBorder="1" applyAlignment="1">
      <alignment horizontal="center" vertical="center" wrapText="1"/>
    </xf>
    <xf numFmtId="164" fontId="4" fillId="2" borderId="6" xfId="4" applyNumberFormat="1" applyFont="1" applyFill="1" applyBorder="1" applyAlignment="1">
      <alignment horizontal="center" vertical="center" wrapText="1"/>
    </xf>
    <xf numFmtId="164" fontId="4" fillId="2" borderId="7" xfId="4" applyNumberFormat="1" applyFont="1" applyFill="1" applyBorder="1" applyAlignment="1">
      <alignment horizontal="center" vertical="center" wrapText="1"/>
    </xf>
    <xf numFmtId="165" fontId="4" fillId="2" borderId="19" xfId="4" applyNumberFormat="1" applyFont="1" applyFill="1" applyBorder="1" applyAlignment="1">
      <alignment horizontal="center" vertical="center" wrapText="1"/>
    </xf>
    <xf numFmtId="165" fontId="4" fillId="2" borderId="21" xfId="4" applyNumberFormat="1" applyFont="1" applyFill="1" applyBorder="1" applyAlignment="1">
      <alignment horizontal="center" vertical="center" wrapText="1"/>
    </xf>
    <xf numFmtId="165" fontId="4" fillId="2" borderId="56" xfId="4" applyNumberFormat="1" applyFont="1" applyFill="1" applyBorder="1" applyAlignment="1">
      <alignment horizontal="center" vertical="center" wrapText="1"/>
    </xf>
    <xf numFmtId="165" fontId="4" fillId="2" borderId="57" xfId="4" applyNumberFormat="1" applyFont="1" applyFill="1" applyBorder="1" applyAlignment="1">
      <alignment horizontal="center" vertical="center" wrapText="1"/>
    </xf>
    <xf numFmtId="165" fontId="4" fillId="2" borderId="58" xfId="4" applyNumberFormat="1" applyFont="1" applyFill="1" applyBorder="1" applyAlignment="1">
      <alignment horizontal="center" vertical="center" wrapText="1"/>
    </xf>
    <xf numFmtId="2" fontId="4" fillId="7" borderId="14" xfId="4" applyNumberFormat="1" applyFont="1" applyFill="1" applyBorder="1" applyAlignment="1">
      <alignment horizontal="center" vertical="center" wrapText="1"/>
    </xf>
    <xf numFmtId="0" fontId="4" fillId="2" borderId="53" xfId="4" applyFont="1" applyFill="1" applyBorder="1" applyAlignment="1">
      <alignment horizontal="center" vertical="center" wrapText="1"/>
    </xf>
    <xf numFmtId="1" fontId="4" fillId="2" borderId="0" xfId="4" quotePrefix="1" applyNumberFormat="1" applyFont="1" applyFill="1" applyBorder="1" applyAlignment="1">
      <alignment horizontal="center" vertical="center" wrapText="1"/>
    </xf>
    <xf numFmtId="0" fontId="3" fillId="0" borderId="0" xfId="4" quotePrefix="1"/>
    <xf numFmtId="0" fontId="4" fillId="2" borderId="0" xfId="4" applyFont="1" applyFill="1" applyBorder="1" applyAlignment="1">
      <alignment horizontal="center" vertical="center" wrapText="1"/>
    </xf>
    <xf numFmtId="0" fontId="4" fillId="5" borderId="8" xfId="4" applyFont="1" applyFill="1" applyBorder="1" applyAlignment="1"/>
    <xf numFmtId="0" fontId="4" fillId="5" borderId="9" xfId="4" applyFont="1" applyFill="1" applyBorder="1" applyAlignment="1"/>
    <xf numFmtId="0" fontId="4" fillId="5" borderId="10" xfId="4" applyFont="1" applyFill="1" applyBorder="1" applyAlignment="1"/>
    <xf numFmtId="0" fontId="4" fillId="5" borderId="10" xfId="4" applyFont="1" applyFill="1" applyBorder="1"/>
    <xf numFmtId="0" fontId="4" fillId="5" borderId="11" xfId="4" applyFont="1" applyFill="1" applyBorder="1"/>
    <xf numFmtId="0" fontId="4" fillId="0" borderId="0" xfId="4" applyFont="1" applyFill="1" applyBorder="1"/>
    <xf numFmtId="168" fontId="3" fillId="0" borderId="0" xfId="4" applyNumberFormat="1"/>
    <xf numFmtId="11" fontId="3" fillId="0" borderId="0" xfId="4" applyNumberFormat="1"/>
    <xf numFmtId="2" fontId="3" fillId="0" borderId="11" xfId="4" applyNumberFormat="1" applyBorder="1"/>
    <xf numFmtId="1" fontId="3" fillId="0" borderId="0" xfId="4" applyNumberFormat="1" applyFont="1" applyProtection="1">
      <protection locked="0"/>
    </xf>
    <xf numFmtId="10" fontId="3" fillId="0" borderId="0" xfId="4" applyNumberFormat="1" applyFont="1" applyProtection="1">
      <protection locked="0"/>
    </xf>
    <xf numFmtId="10" fontId="3" fillId="0" borderId="0" xfId="4" applyNumberFormat="1" applyProtection="1">
      <protection locked="0"/>
    </xf>
    <xf numFmtId="0" fontId="4" fillId="6" borderId="12" xfId="4" applyFont="1" applyFill="1" applyBorder="1"/>
    <xf numFmtId="0" fontId="3" fillId="2" borderId="11" xfId="4" applyFont="1" applyFill="1" applyBorder="1" applyProtection="1">
      <protection locked="0"/>
    </xf>
    <xf numFmtId="0" fontId="3" fillId="0" borderId="11" xfId="4" applyFont="1" applyBorder="1"/>
    <xf numFmtId="0" fontId="4" fillId="6" borderId="11" xfId="4" applyFont="1" applyFill="1" applyBorder="1"/>
    <xf numFmtId="0" fontId="3" fillId="0" borderId="11" xfId="4" applyFont="1" applyFill="1" applyBorder="1"/>
    <xf numFmtId="0" fontId="53" fillId="0" borderId="11" xfId="4" applyFont="1" applyBorder="1"/>
    <xf numFmtId="0" fontId="3" fillId="4" borderId="11" xfId="4" applyFont="1" applyFill="1" applyBorder="1"/>
    <xf numFmtId="0" fontId="3" fillId="4" borderId="11" xfId="4" applyFont="1" applyFill="1" applyBorder="1" applyProtection="1">
      <protection locked="0"/>
    </xf>
    <xf numFmtId="0" fontId="14" fillId="3" borderId="0" xfId="4" applyFont="1" applyFill="1"/>
    <xf numFmtId="0" fontId="4" fillId="5" borderId="8" xfId="4" applyFont="1" applyFill="1" applyBorder="1"/>
    <xf numFmtId="0" fontId="4" fillId="5" borderId="9" xfId="4" applyFont="1" applyFill="1" applyBorder="1"/>
    <xf numFmtId="0" fontId="4" fillId="5" borderId="15" xfId="4" applyFont="1" applyFill="1" applyBorder="1"/>
    <xf numFmtId="0" fontId="3" fillId="4" borderId="11" xfId="4" applyFill="1" applyBorder="1"/>
    <xf numFmtId="166" fontId="15" fillId="22" borderId="11" xfId="4" applyNumberFormat="1" applyFont="1" applyFill="1" applyBorder="1"/>
    <xf numFmtId="0" fontId="3" fillId="0" borderId="15" xfId="4" applyFont="1" applyBorder="1"/>
    <xf numFmtId="11" fontId="3" fillId="0" borderId="8" xfId="4" applyNumberFormat="1" applyBorder="1"/>
    <xf numFmtId="11" fontId="3" fillId="0" borderId="11" xfId="4" applyNumberFormat="1" applyBorder="1"/>
    <xf numFmtId="1" fontId="15" fillId="22" borderId="11" xfId="4" applyNumberFormat="1" applyFont="1" applyFill="1" applyBorder="1"/>
    <xf numFmtId="1" fontId="62" fillId="22" borderId="11" xfId="4" applyNumberFormat="1" applyFont="1" applyFill="1" applyBorder="1"/>
    <xf numFmtId="1" fontId="3" fillId="0" borderId="8" xfId="4" applyNumberFormat="1" applyBorder="1"/>
    <xf numFmtId="0" fontId="3" fillId="23" borderId="11" xfId="4" applyFill="1" applyBorder="1"/>
    <xf numFmtId="1" fontId="15" fillId="22" borderId="11" xfId="4" applyNumberFormat="1" applyFont="1" applyFill="1" applyBorder="1" applyProtection="1">
      <protection locked="0"/>
    </xf>
    <xf numFmtId="175" fontId="3" fillId="0" borderId="11" xfId="4" applyNumberFormat="1" applyBorder="1"/>
    <xf numFmtId="0" fontId="4" fillId="6" borderId="8" xfId="4" applyFont="1" applyFill="1" applyBorder="1"/>
    <xf numFmtId="0" fontId="4" fillId="0" borderId="0" xfId="4" applyFont="1" applyFill="1" applyBorder="1" applyAlignment="1">
      <alignment horizontal="right"/>
    </xf>
    <xf numFmtId="0" fontId="3" fillId="6" borderId="8" xfId="4" applyFill="1" applyBorder="1"/>
    <xf numFmtId="0" fontId="3" fillId="0" borderId="47" xfId="4" applyFont="1" applyFill="1" applyBorder="1"/>
    <xf numFmtId="0" fontId="53" fillId="0" borderId="15" xfId="4" applyFont="1" applyBorder="1"/>
    <xf numFmtId="0" fontId="3" fillId="6" borderId="8" xfId="4" applyFont="1" applyFill="1" applyBorder="1"/>
    <xf numFmtId="176" fontId="3" fillId="0" borderId="47" xfId="4" applyNumberFormat="1" applyFont="1" applyFill="1" applyBorder="1"/>
    <xf numFmtId="175" fontId="3" fillId="0" borderId="11" xfId="4" applyNumberFormat="1" applyFont="1" applyFill="1" applyBorder="1"/>
    <xf numFmtId="0" fontId="4" fillId="0" borderId="11" xfId="4" applyFont="1" applyFill="1" applyBorder="1"/>
    <xf numFmtId="0" fontId="4" fillId="6" borderId="48" xfId="4" applyFont="1" applyFill="1" applyBorder="1"/>
    <xf numFmtId="0" fontId="3" fillId="0" borderId="16" xfId="4" applyFont="1" applyBorder="1"/>
    <xf numFmtId="11" fontId="3" fillId="0" borderId="48" xfId="4" applyNumberFormat="1" applyBorder="1"/>
    <xf numFmtId="0" fontId="3" fillId="0" borderId="12" xfId="4" applyFont="1" applyFill="1" applyBorder="1"/>
    <xf numFmtId="0" fontId="4" fillId="5" borderId="0" xfId="4" applyFont="1" applyFill="1"/>
    <xf numFmtId="0" fontId="4" fillId="5" borderId="0" xfId="4" applyFont="1" applyFill="1" applyBorder="1"/>
    <xf numFmtId="0" fontId="4" fillId="5" borderId="14" xfId="4" applyFont="1" applyFill="1" applyBorder="1"/>
    <xf numFmtId="0" fontId="3" fillId="0" borderId="11" xfId="4" applyFont="1" applyFill="1" applyBorder="1" applyProtection="1">
      <protection locked="0"/>
    </xf>
    <xf numFmtId="0" fontId="3" fillId="6" borderId="9" xfId="4" applyFill="1" applyBorder="1"/>
    <xf numFmtId="0" fontId="3" fillId="0" borderId="47" xfId="4" applyFont="1" applyFill="1" applyBorder="1" applyProtection="1">
      <protection locked="0"/>
    </xf>
    <xf numFmtId="0" fontId="4" fillId="5" borderId="4" xfId="4" applyFont="1" applyFill="1" applyBorder="1" applyAlignment="1"/>
    <xf numFmtId="0" fontId="4" fillId="5" borderId="12" xfId="4" applyFont="1" applyFill="1" applyBorder="1"/>
    <xf numFmtId="0" fontId="3" fillId="6" borderId="11" xfId="4" applyFill="1" applyBorder="1"/>
    <xf numFmtId="0" fontId="3" fillId="0" borderId="51" xfId="4" applyFont="1" applyFill="1" applyBorder="1" applyProtection="1">
      <protection locked="0"/>
    </xf>
    <xf numFmtId="0" fontId="3" fillId="21" borderId="51" xfId="4" applyFont="1" applyFill="1" applyBorder="1" applyProtection="1">
      <protection locked="0"/>
    </xf>
    <xf numFmtId="0" fontId="3" fillId="0" borderId="0" xfId="4" applyFont="1" applyFill="1" applyBorder="1"/>
    <xf numFmtId="176" fontId="3" fillId="0" borderId="11" xfId="4" applyNumberFormat="1" applyBorder="1"/>
    <xf numFmtId="0" fontId="4" fillId="5" borderId="0" xfId="4" applyFont="1" applyFill="1" applyBorder="1" applyAlignment="1" applyProtection="1">
      <protection locked="0"/>
    </xf>
    <xf numFmtId="0" fontId="4" fillId="5" borderId="13" xfId="4" applyFont="1" applyFill="1" applyBorder="1"/>
    <xf numFmtId="0" fontId="3" fillId="6" borderId="11" xfId="4" applyFont="1" applyFill="1" applyBorder="1"/>
    <xf numFmtId="0" fontId="4" fillId="0" borderId="0" xfId="4" applyFont="1" applyAlignment="1">
      <alignment horizontal="right"/>
    </xf>
    <xf numFmtId="167" fontId="58" fillId="0" borderId="0" xfId="4" applyNumberFormat="1" applyFont="1"/>
    <xf numFmtId="0" fontId="58" fillId="0" borderId="0" xfId="4" applyFont="1"/>
    <xf numFmtId="0" fontId="48" fillId="0" borderId="0" xfId="4" applyNumberFormat="1" applyFont="1"/>
    <xf numFmtId="166" fontId="3" fillId="0" borderId="0" xfId="4" applyNumberFormat="1" applyFont="1"/>
    <xf numFmtId="165" fontId="3" fillId="0" borderId="0" xfId="4" applyNumberFormat="1" applyFont="1"/>
    <xf numFmtId="0" fontId="4" fillId="0" borderId="0" xfId="4" applyNumberFormat="1" applyFont="1"/>
    <xf numFmtId="2" fontId="4" fillId="0" borderId="0" xfId="4" applyNumberFormat="1" applyFont="1"/>
    <xf numFmtId="0" fontId="4" fillId="0" borderId="0" xfId="4" applyFont="1"/>
    <xf numFmtId="165" fontId="48" fillId="0" borderId="0" xfId="4" applyNumberFormat="1" applyFont="1"/>
    <xf numFmtId="1" fontId="4" fillId="0" borderId="0" xfId="4" applyNumberFormat="1" applyFont="1"/>
    <xf numFmtId="165" fontId="4" fillId="0" borderId="0" xfId="4" applyNumberFormat="1" applyFont="1"/>
    <xf numFmtId="1" fontId="4" fillId="0" borderId="0" xfId="4" applyNumberFormat="1" applyFont="1" applyBorder="1"/>
    <xf numFmtId="0" fontId="3" fillId="0" borderId="0" xfId="4" applyNumberFormat="1"/>
    <xf numFmtId="2" fontId="7" fillId="4" borderId="50" xfId="4" applyNumberFormat="1" applyFont="1" applyFill="1" applyBorder="1" applyAlignment="1"/>
    <xf numFmtId="2" fontId="4" fillId="2" borderId="53" xfId="4" applyNumberFormat="1" applyFont="1" applyFill="1" applyBorder="1" applyAlignment="1">
      <alignment horizontal="center" vertical="center" wrapText="1"/>
    </xf>
    <xf numFmtId="2" fontId="7" fillId="4" borderId="52" xfId="4" applyNumberFormat="1" applyFont="1" applyFill="1" applyBorder="1" applyAlignment="1"/>
    <xf numFmtId="2" fontId="4" fillId="2" borderId="18" xfId="4" applyNumberFormat="1" applyFont="1" applyFill="1" applyBorder="1" applyAlignment="1">
      <alignment horizontal="center" vertical="center" wrapText="1"/>
    </xf>
    <xf numFmtId="166" fontId="7" fillId="4" borderId="50" xfId="4" applyNumberFormat="1" applyFont="1" applyFill="1" applyBorder="1" applyAlignment="1"/>
    <xf numFmtId="166" fontId="4" fillId="2" borderId="42" xfId="4" applyNumberFormat="1" applyFont="1" applyFill="1" applyBorder="1" applyAlignment="1">
      <alignment horizontal="center" vertical="center" wrapText="1"/>
    </xf>
    <xf numFmtId="178" fontId="3" fillId="0" borderId="0" xfId="4" applyNumberFormat="1"/>
    <xf numFmtId="178" fontId="7" fillId="4" borderId="50" xfId="4" applyNumberFormat="1" applyFont="1" applyFill="1" applyBorder="1" applyAlignment="1"/>
    <xf numFmtId="178" fontId="4" fillId="2" borderId="6" xfId="4" applyNumberFormat="1" applyFont="1" applyFill="1" applyBorder="1" applyAlignment="1">
      <alignment horizontal="center" vertical="center" wrapText="1"/>
    </xf>
    <xf numFmtId="178" fontId="4" fillId="2" borderId="19" xfId="4" applyNumberFormat="1" applyFont="1" applyFill="1" applyBorder="1" applyAlignment="1">
      <alignment horizontal="center" vertical="center" wrapText="1"/>
    </xf>
    <xf numFmtId="178" fontId="4" fillId="2" borderId="41" xfId="4" applyNumberFormat="1" applyFont="1" applyFill="1" applyBorder="1" applyAlignment="1">
      <alignment horizontal="center" vertical="center" wrapText="1"/>
    </xf>
    <xf numFmtId="178" fontId="4" fillId="2" borderId="53" xfId="4" applyNumberFormat="1" applyFont="1" applyFill="1" applyBorder="1" applyAlignment="1">
      <alignment horizontal="center" vertical="center" wrapText="1"/>
    </xf>
    <xf numFmtId="178" fontId="4" fillId="2" borderId="42" xfId="4" applyNumberFormat="1" applyFont="1" applyFill="1" applyBorder="1" applyAlignment="1">
      <alignment horizontal="center" vertical="center" wrapText="1"/>
    </xf>
    <xf numFmtId="178" fontId="4" fillId="0" borderId="0" xfId="4" applyNumberFormat="1" applyFont="1"/>
    <xf numFmtId="0" fontId="0" fillId="0" borderId="0" xfId="0" applyNumberFormat="1" applyBorder="1" applyAlignment="1">
      <alignment horizontal="left"/>
    </xf>
    <xf numFmtId="2" fontId="4" fillId="2" borderId="58" xfId="4" applyNumberFormat="1" applyFont="1" applyFill="1" applyBorder="1" applyAlignment="1">
      <alignment horizontal="center" vertical="center" wrapText="1"/>
    </xf>
    <xf numFmtId="2" fontId="4" fillId="2" borderId="21" xfId="4" applyNumberFormat="1" applyFont="1" applyFill="1" applyBorder="1" applyAlignment="1">
      <alignment horizontal="center" vertical="center" wrapText="1"/>
    </xf>
    <xf numFmtId="0" fontId="4" fillId="8" borderId="0" xfId="0" applyFont="1" applyFill="1" applyBorder="1" applyAlignment="1" applyProtection="1">
      <alignment vertical="top"/>
    </xf>
    <xf numFmtId="167" fontId="3" fillId="2" borderId="11" xfId="4" applyNumberFormat="1" applyFont="1" applyFill="1" applyBorder="1" applyProtection="1">
      <protection locked="0"/>
    </xf>
    <xf numFmtId="1" fontId="3" fillId="0" borderId="47" xfId="4" applyNumberFormat="1" applyFont="1" applyFill="1" applyBorder="1"/>
    <xf numFmtId="165" fontId="4" fillId="0" borderId="0" xfId="4" applyNumberFormat="1" applyFont="1" applyFill="1" applyBorder="1"/>
    <xf numFmtId="0" fontId="0" fillId="12" borderId="0" xfId="0" applyFill="1"/>
    <xf numFmtId="0" fontId="0" fillId="12" borderId="0" xfId="0" applyFill="1" applyBorder="1"/>
    <xf numFmtId="0" fontId="0" fillId="12" borderId="0" xfId="0" applyFill="1" applyAlignment="1"/>
    <xf numFmtId="0" fontId="0" fillId="0" borderId="0" xfId="0" applyAlignment="1"/>
    <xf numFmtId="0" fontId="64" fillId="0" borderId="0" xfId="0" applyFont="1" applyFill="1"/>
    <xf numFmtId="0" fontId="0" fillId="0" borderId="0" xfId="0" applyFill="1" applyAlignment="1"/>
    <xf numFmtId="0" fontId="15" fillId="0" borderId="0" xfId="0" applyFont="1" applyFill="1"/>
    <xf numFmtId="0" fontId="62" fillId="0" borderId="0" xfId="1" applyFont="1" applyFill="1"/>
    <xf numFmtId="0" fontId="0" fillId="0" borderId="0" xfId="0" applyAlignment="1">
      <alignment horizontal="left"/>
    </xf>
    <xf numFmtId="1" fontId="15" fillId="4" borderId="0" xfId="0" applyNumberFormat="1" applyFont="1" applyFill="1" applyBorder="1" applyAlignment="1">
      <alignment horizontal="right"/>
    </xf>
    <xf numFmtId="1" fontId="49" fillId="8" borderId="0" xfId="0" applyNumberFormat="1" applyFont="1" applyFill="1" applyBorder="1" applyAlignment="1" applyProtection="1">
      <alignment horizontal="right"/>
    </xf>
    <xf numFmtId="1" fontId="0" fillId="0" borderId="0" xfId="0" applyNumberFormat="1" applyFill="1" applyBorder="1"/>
    <xf numFmtId="2" fontId="0" fillId="0" borderId="0" xfId="0" applyNumberFormat="1" applyFill="1" applyBorder="1"/>
    <xf numFmtId="0" fontId="3" fillId="8" borderId="25" xfId="0" applyFont="1" applyFill="1" applyBorder="1" applyAlignment="1" applyProtection="1">
      <alignment horizontal="right"/>
    </xf>
    <xf numFmtId="1" fontId="50" fillId="15" borderId="0" xfId="0" applyNumberFormat="1" applyFont="1" applyFill="1" applyBorder="1" applyAlignment="1" applyProtection="1">
      <alignment horizontal="right"/>
      <protection locked="0"/>
    </xf>
    <xf numFmtId="0" fontId="48" fillId="0" borderId="0" xfId="0" applyFont="1" applyBorder="1" applyAlignment="1">
      <alignment horizontal="left"/>
    </xf>
    <xf numFmtId="0" fontId="48" fillId="0" borderId="0" xfId="0" applyFont="1" applyBorder="1" applyAlignment="1">
      <alignment horizontal="right"/>
    </xf>
    <xf numFmtId="0" fontId="0" fillId="0" borderId="22" xfId="0" applyBorder="1" applyAlignment="1">
      <alignment horizontal="right"/>
    </xf>
    <xf numFmtId="0" fontId="4" fillId="0" borderId="0" xfId="0" applyFont="1" applyBorder="1" applyAlignment="1">
      <alignment horizontal="right"/>
    </xf>
    <xf numFmtId="0" fontId="48" fillId="0" borderId="0" xfId="4" applyFont="1" applyBorder="1" applyAlignment="1">
      <alignment horizontal="left"/>
    </xf>
    <xf numFmtId="0" fontId="48" fillId="0" borderId="0" xfId="0" applyFont="1" applyBorder="1" applyAlignment="1">
      <alignment horizontal="center"/>
    </xf>
    <xf numFmtId="0" fontId="21" fillId="0" borderId="49" xfId="0" applyFont="1" applyBorder="1"/>
    <xf numFmtId="0" fontId="0" fillId="0" borderId="50" xfId="0" applyBorder="1"/>
    <xf numFmtId="0" fontId="4" fillId="0" borderId="50" xfId="0" applyFont="1" applyBorder="1"/>
    <xf numFmtId="0" fontId="4" fillId="0" borderId="22" xfId="4" applyFont="1" applyBorder="1" applyAlignment="1">
      <alignment horizontal="right"/>
    </xf>
    <xf numFmtId="0" fontId="3" fillId="0" borderId="22" xfId="4" applyBorder="1" applyAlignment="1">
      <alignment horizontal="right"/>
    </xf>
    <xf numFmtId="0" fontId="3" fillId="12" borderId="49" xfId="0" applyFont="1" applyFill="1" applyBorder="1" applyProtection="1"/>
    <xf numFmtId="0" fontId="3" fillId="0" borderId="0" xfId="0" applyFont="1" applyBorder="1" applyAlignment="1">
      <alignment horizontal="left"/>
    </xf>
    <xf numFmtId="0" fontId="3" fillId="12" borderId="0" xfId="0" applyFont="1" applyFill="1" applyBorder="1"/>
    <xf numFmtId="1" fontId="3" fillId="8" borderId="25" xfId="0" applyNumberFormat="1" applyFont="1" applyFill="1" applyBorder="1" applyAlignment="1" applyProtection="1">
      <alignment horizontal="right" vertical="center"/>
    </xf>
    <xf numFmtId="0" fontId="3" fillId="8" borderId="59" xfId="0" applyFont="1" applyFill="1" applyBorder="1" applyAlignment="1" applyProtection="1">
      <alignment vertical="center"/>
    </xf>
    <xf numFmtId="0" fontId="3" fillId="8" borderId="60" xfId="0" applyFont="1" applyFill="1" applyBorder="1" applyAlignment="1" applyProtection="1">
      <alignment vertical="center"/>
    </xf>
    <xf numFmtId="0" fontId="3" fillId="8" borderId="60" xfId="0" applyFont="1" applyFill="1" applyBorder="1" applyAlignment="1" applyProtection="1">
      <alignment horizontal="right" vertical="center"/>
    </xf>
    <xf numFmtId="0" fontId="4" fillId="8" borderId="60" xfId="0" applyFont="1" applyFill="1" applyBorder="1" applyAlignment="1" applyProtection="1">
      <alignment horizontal="right" vertical="center"/>
    </xf>
    <xf numFmtId="0" fontId="3" fillId="8" borderId="60" xfId="0" applyNumberFormat="1" applyFont="1" applyFill="1" applyBorder="1" applyAlignment="1" applyProtection="1">
      <alignment horizontal="right" vertical="center"/>
    </xf>
    <xf numFmtId="0" fontId="3" fillId="8" borderId="61" xfId="0" applyFont="1" applyFill="1" applyBorder="1" applyAlignment="1" applyProtection="1">
      <alignment vertical="center"/>
    </xf>
    <xf numFmtId="0" fontId="3" fillId="0" borderId="0" xfId="0" applyFont="1" applyAlignment="1">
      <alignment horizontal="right"/>
    </xf>
    <xf numFmtId="0" fontId="66" fillId="0" borderId="22" xfId="0" applyFont="1" applyBorder="1"/>
    <xf numFmtId="0" fontId="3" fillId="15" borderId="0" xfId="0" applyFont="1" applyFill="1" applyBorder="1"/>
    <xf numFmtId="0" fontId="24" fillId="24" borderId="22" xfId="0" applyFont="1" applyFill="1" applyBorder="1" applyAlignment="1" applyProtection="1">
      <alignment horizontal="left"/>
    </xf>
    <xf numFmtId="0" fontId="24" fillId="24" borderId="0" xfId="0" applyFont="1" applyFill="1" applyBorder="1" applyAlignment="1" applyProtection="1">
      <alignment horizontal="left"/>
    </xf>
    <xf numFmtId="0" fontId="23" fillId="24" borderId="22" xfId="0" applyFont="1" applyFill="1" applyBorder="1" applyAlignment="1" applyProtection="1">
      <alignment horizontal="left" vertical="center"/>
    </xf>
    <xf numFmtId="0" fontId="23" fillId="24" borderId="0" xfId="0" applyFont="1" applyFill="1" applyBorder="1" applyAlignment="1" applyProtection="1">
      <alignment horizontal="left" vertical="center"/>
    </xf>
    <xf numFmtId="0" fontId="52" fillId="24" borderId="0" xfId="0" applyFont="1" applyFill="1" applyBorder="1" applyAlignment="1" applyProtection="1">
      <alignment horizontal="left" vertical="center"/>
    </xf>
    <xf numFmtId="0" fontId="20" fillId="24" borderId="0" xfId="0" applyFont="1" applyFill="1" applyBorder="1" applyAlignment="1" applyProtection="1">
      <alignment vertical="center"/>
    </xf>
    <xf numFmtId="0" fontId="23" fillId="24" borderId="0" xfId="0" quotePrefix="1" applyFont="1" applyFill="1" applyBorder="1" applyAlignment="1" applyProtection="1">
      <alignment vertical="center"/>
    </xf>
    <xf numFmtId="0" fontId="26" fillId="24" borderId="0" xfId="0" applyFont="1" applyFill="1" applyBorder="1" applyAlignment="1" applyProtection="1">
      <alignment vertical="center"/>
    </xf>
    <xf numFmtId="0" fontId="26" fillId="24" borderId="0" xfId="0" applyFont="1" applyFill="1" applyBorder="1" applyProtection="1"/>
    <xf numFmtId="0" fontId="17" fillId="24" borderId="0" xfId="0" applyFont="1" applyFill="1" applyBorder="1" applyProtection="1"/>
    <xf numFmtId="0" fontId="28" fillId="24" borderId="24" xfId="0" applyFont="1" applyFill="1" applyBorder="1" applyProtection="1"/>
    <xf numFmtId="0" fontId="28" fillId="24" borderId="25" xfId="0" applyFont="1" applyFill="1" applyBorder="1" applyProtection="1"/>
    <xf numFmtId="0" fontId="20" fillId="24" borderId="25" xfId="0" applyFont="1" applyFill="1" applyBorder="1" applyProtection="1"/>
    <xf numFmtId="0" fontId="25" fillId="24" borderId="25" xfId="0" applyFont="1" applyFill="1" applyBorder="1" applyProtection="1"/>
    <xf numFmtId="0" fontId="67" fillId="24" borderId="0" xfId="3" applyFont="1" applyFill="1" applyAlignment="1" applyProtection="1"/>
    <xf numFmtId="0" fontId="67" fillId="24" borderId="0" xfId="3" applyFont="1" applyFill="1" applyBorder="1" applyAlignment="1" applyProtection="1">
      <alignment horizontal="left" vertical="center"/>
    </xf>
    <xf numFmtId="169" fontId="17" fillId="24" borderId="0" xfId="0" applyNumberFormat="1" applyFont="1" applyFill="1" applyBorder="1" applyAlignment="1" applyProtection="1">
      <alignment horizontal="center"/>
    </xf>
    <xf numFmtId="0" fontId="20" fillId="24" borderId="37" xfId="0" applyFont="1" applyFill="1" applyBorder="1" applyProtection="1"/>
    <xf numFmtId="0" fontId="20" fillId="24" borderId="35" xfId="0" applyFont="1" applyFill="1" applyBorder="1" applyProtection="1"/>
    <xf numFmtId="0" fontId="17" fillId="24" borderId="35" xfId="0" applyFont="1" applyFill="1" applyBorder="1" applyProtection="1"/>
    <xf numFmtId="0" fontId="4" fillId="5" borderId="48" xfId="4" applyFont="1" applyFill="1" applyBorder="1" applyAlignment="1"/>
    <xf numFmtId="166" fontId="0" fillId="10" borderId="2" xfId="0" applyNumberFormat="1" applyFill="1" applyBorder="1"/>
    <xf numFmtId="166" fontId="0" fillId="18" borderId="0" xfId="0" applyNumberFormat="1" applyFill="1" applyBorder="1"/>
    <xf numFmtId="166" fontId="27" fillId="10" borderId="0" xfId="0" applyNumberFormat="1" applyFont="1" applyFill="1" applyBorder="1"/>
    <xf numFmtId="0" fontId="3" fillId="8" borderId="62" xfId="0" applyFont="1" applyFill="1" applyBorder="1" applyProtection="1"/>
    <xf numFmtId="0" fontId="3" fillId="8" borderId="63" xfId="0" applyFont="1" applyFill="1" applyBorder="1" applyProtection="1"/>
    <xf numFmtId="0" fontId="3" fillId="8" borderId="63" xfId="0" applyFont="1" applyFill="1" applyBorder="1" applyAlignment="1" applyProtection="1">
      <alignment horizontal="right"/>
    </xf>
    <xf numFmtId="0" fontId="17" fillId="12" borderId="22" xfId="0" applyFont="1" applyFill="1" applyBorder="1" applyProtection="1"/>
    <xf numFmtId="166" fontId="27" fillId="0" borderId="0" xfId="0" applyNumberFormat="1" applyFont="1" applyFill="1" applyBorder="1"/>
    <xf numFmtId="0" fontId="50" fillId="12" borderId="61" xfId="0" applyNumberFormat="1" applyFont="1" applyFill="1" applyBorder="1" applyAlignment="1" applyProtection="1">
      <alignment vertical="center"/>
    </xf>
    <xf numFmtId="0" fontId="4" fillId="12" borderId="23" xfId="0" applyNumberFormat="1" applyFont="1" applyFill="1" applyBorder="1" applyAlignment="1" applyProtection="1">
      <alignment vertical="center"/>
    </xf>
    <xf numFmtId="1" fontId="3" fillId="0" borderId="64" xfId="0" applyNumberFormat="1" applyFont="1" applyFill="1" applyBorder="1" applyAlignment="1" applyProtection="1">
      <alignment vertical="center"/>
    </xf>
    <xf numFmtId="0" fontId="4" fillId="12" borderId="23" xfId="0" applyFont="1" applyFill="1" applyBorder="1" applyProtection="1"/>
    <xf numFmtId="0" fontId="4" fillId="12" borderId="23" xfId="0" applyFont="1" applyFill="1" applyBorder="1" applyAlignment="1" applyProtection="1">
      <alignment vertical="center"/>
    </xf>
    <xf numFmtId="0" fontId="3" fillId="12" borderId="26" xfId="0" applyFont="1" applyFill="1" applyBorder="1" applyProtection="1"/>
    <xf numFmtId="0" fontId="4" fillId="8" borderId="39" xfId="0" applyFont="1" applyFill="1" applyBorder="1" applyAlignment="1" applyProtection="1">
      <alignment horizontal="right" vertical="center"/>
    </xf>
    <xf numFmtId="0" fontId="4" fillId="15" borderId="39" xfId="0" applyNumberFormat="1" applyFont="1" applyFill="1" applyBorder="1" applyAlignment="1" applyProtection="1">
      <alignment horizontal="right" vertical="center"/>
      <protection locked="0"/>
    </xf>
    <xf numFmtId="0" fontId="4" fillId="8" borderId="26" xfId="0" applyFont="1" applyFill="1" applyBorder="1" applyAlignment="1" applyProtection="1">
      <alignment vertical="center"/>
    </xf>
    <xf numFmtId="1" fontId="3" fillId="8" borderId="0" xfId="0" applyNumberFormat="1" applyFont="1" applyFill="1" applyBorder="1" applyAlignment="1" applyProtection="1"/>
    <xf numFmtId="0" fontId="0" fillId="0" borderId="63" xfId="0" applyBorder="1"/>
    <xf numFmtId="0" fontId="4" fillId="0" borderId="0" xfId="4" applyFont="1" applyBorder="1" applyAlignment="1">
      <alignment horizontal="left"/>
    </xf>
    <xf numFmtId="0" fontId="48" fillId="0" borderId="0" xfId="4" applyFont="1" applyBorder="1" applyAlignment="1">
      <alignment horizontal="center"/>
    </xf>
    <xf numFmtId="0" fontId="48" fillId="0" borderId="0" xfId="0" applyFont="1" applyAlignment="1">
      <alignment horizontal="center"/>
    </xf>
    <xf numFmtId="0" fontId="70" fillId="0" borderId="0" xfId="4" applyFont="1" applyBorder="1" applyAlignment="1">
      <alignment horizontal="right"/>
    </xf>
    <xf numFmtId="0" fontId="70" fillId="0" borderId="22" xfId="4" applyFont="1" applyBorder="1" applyAlignment="1">
      <alignment horizontal="right"/>
    </xf>
    <xf numFmtId="0" fontId="70" fillId="0" borderId="0" xfId="0" applyFont="1" applyAlignment="1">
      <alignment horizontal="right"/>
    </xf>
    <xf numFmtId="0" fontId="70" fillId="0" borderId="0" xfId="0" applyFont="1" applyBorder="1" applyAlignment="1">
      <alignment horizontal="right"/>
    </xf>
    <xf numFmtId="0" fontId="66" fillId="0" borderId="0" xfId="0" applyFont="1"/>
    <xf numFmtId="165" fontId="7" fillId="4" borderId="63" xfId="4" applyNumberFormat="1" applyFont="1" applyFill="1" applyBorder="1" applyAlignment="1"/>
    <xf numFmtId="167" fontId="3" fillId="0" borderId="0" xfId="4" applyNumberFormat="1"/>
    <xf numFmtId="0" fontId="4" fillId="2" borderId="20" xfId="4" applyFont="1" applyFill="1" applyBorder="1" applyAlignment="1">
      <alignment horizontal="center" vertical="center" wrapText="1"/>
    </xf>
    <xf numFmtId="0" fontId="48" fillId="0" borderId="0" xfId="0" applyFont="1"/>
    <xf numFmtId="2" fontId="4" fillId="2" borderId="56" xfId="4" applyNumberFormat="1" applyFont="1" applyFill="1" applyBorder="1" applyAlignment="1">
      <alignment horizontal="center" vertical="center" wrapText="1"/>
    </xf>
    <xf numFmtId="2" fontId="4" fillId="2" borderId="57" xfId="4" applyNumberFormat="1" applyFont="1" applyFill="1" applyBorder="1" applyAlignment="1">
      <alignment horizontal="center" vertical="center" wrapText="1"/>
    </xf>
    <xf numFmtId="2" fontId="7" fillId="4" borderId="41" xfId="4" applyNumberFormat="1" applyFont="1" applyFill="1" applyBorder="1" applyAlignment="1"/>
    <xf numFmtId="2" fontId="7" fillId="4" borderId="67" xfId="4" applyNumberFormat="1" applyFont="1" applyFill="1" applyBorder="1" applyAlignment="1"/>
    <xf numFmtId="2" fontId="7" fillId="4" borderId="18" xfId="4" applyNumberFormat="1" applyFont="1" applyFill="1" applyBorder="1" applyAlignment="1"/>
    <xf numFmtId="165" fontId="4" fillId="4" borderId="41" xfId="4" applyNumberFormat="1" applyFont="1" applyFill="1" applyBorder="1" applyAlignment="1"/>
    <xf numFmtId="165" fontId="3" fillId="4" borderId="67" xfId="4" applyNumberFormat="1" applyFill="1" applyBorder="1"/>
    <xf numFmtId="0" fontId="3" fillId="8" borderId="23" xfId="0" applyFont="1" applyFill="1" applyBorder="1" applyAlignment="1" applyProtection="1"/>
    <xf numFmtId="0" fontId="3" fillId="8" borderId="62" xfId="0" applyFont="1" applyFill="1" applyBorder="1" applyAlignment="1" applyProtection="1">
      <alignment vertical="center"/>
    </xf>
    <xf numFmtId="0" fontId="22" fillId="8" borderId="24" xfId="0" applyFont="1" applyFill="1" applyBorder="1" applyAlignment="1" applyProtection="1">
      <alignment vertical="center"/>
    </xf>
    <xf numFmtId="181" fontId="3" fillId="17" borderId="11" xfId="4" applyNumberFormat="1" applyFill="1" applyBorder="1" applyAlignment="1">
      <alignment horizontal="center" vertical="center"/>
    </xf>
    <xf numFmtId="164" fontId="3" fillId="0" borderId="0" xfId="7" applyNumberFormat="1" applyFont="1"/>
    <xf numFmtId="0" fontId="3" fillId="0" borderId="0" xfId="0" quotePrefix="1" applyFont="1"/>
    <xf numFmtId="0" fontId="48" fillId="0" borderId="0" xfId="0" applyFont="1" applyAlignment="1">
      <alignment horizontal="left"/>
    </xf>
    <xf numFmtId="0" fontId="4" fillId="8" borderId="11" xfId="4" applyFont="1" applyFill="1" applyBorder="1" applyAlignment="1">
      <alignment horizontal="center" vertical="center"/>
    </xf>
    <xf numFmtId="167" fontId="0" fillId="0" borderId="0" xfId="0" applyNumberFormat="1"/>
    <xf numFmtId="0" fontId="3" fillId="8" borderId="0" xfId="4" applyFill="1" applyAlignment="1">
      <alignment horizontal="left"/>
    </xf>
    <xf numFmtId="49" fontId="3" fillId="8" borderId="0" xfId="4" applyNumberFormat="1" applyFill="1" applyAlignment="1">
      <alignment horizontal="left"/>
    </xf>
    <xf numFmtId="0" fontId="3" fillId="8" borderId="0" xfId="4" applyFill="1" applyAlignment="1">
      <alignment horizontal="left" vertical="center"/>
    </xf>
    <xf numFmtId="0" fontId="4" fillId="8" borderId="11" xfId="4" applyFont="1" applyFill="1" applyBorder="1" applyAlignment="1">
      <alignment vertical="center"/>
    </xf>
    <xf numFmtId="0" fontId="4" fillId="8" borderId="11" xfId="4" applyFont="1" applyFill="1" applyBorder="1" applyAlignment="1">
      <alignment vertical="center" wrapText="1"/>
    </xf>
    <xf numFmtId="0" fontId="4" fillId="8" borderId="8" xfId="4" applyFont="1" applyFill="1" applyBorder="1" applyAlignment="1">
      <alignment vertical="center"/>
    </xf>
    <xf numFmtId="0" fontId="4" fillId="8" borderId="9" xfId="4" applyFont="1" applyFill="1" applyBorder="1" applyAlignment="1">
      <alignment vertical="center"/>
    </xf>
    <xf numFmtId="0" fontId="4" fillId="8" borderId="15" xfId="4" applyFont="1" applyFill="1" applyBorder="1" applyAlignment="1">
      <alignment vertical="center"/>
    </xf>
    <xf numFmtId="0" fontId="3" fillId="12" borderId="0" xfId="4" applyFill="1" applyAlignment="1">
      <alignment horizontal="left"/>
    </xf>
    <xf numFmtId="49" fontId="3" fillId="12" borderId="0" xfId="4" applyNumberFormat="1" applyFill="1" applyAlignment="1">
      <alignment horizontal="left"/>
    </xf>
    <xf numFmtId="167" fontId="3" fillId="8" borderId="0" xfId="4" applyNumberFormat="1" applyFill="1" applyAlignment="1">
      <alignment horizontal="left"/>
    </xf>
    <xf numFmtId="0" fontId="4" fillId="8" borderId="0" xfId="4" applyFont="1" applyFill="1" applyAlignment="1">
      <alignment vertical="center"/>
    </xf>
    <xf numFmtId="167" fontId="3" fillId="8" borderId="0" xfId="4" applyNumberFormat="1" applyFill="1" applyAlignment="1">
      <alignment horizontal="right" vertical="center"/>
    </xf>
    <xf numFmtId="0" fontId="3" fillId="0" borderId="0" xfId="0" applyFont="1" applyAlignment="1">
      <alignment horizontal="left"/>
    </xf>
    <xf numFmtId="0" fontId="3" fillId="16" borderId="8" xfId="4" applyFill="1" applyBorder="1" applyAlignment="1">
      <alignment horizontal="left" vertical="center"/>
    </xf>
    <xf numFmtId="0" fontId="3" fillId="17" borderId="8" xfId="4" applyFill="1" applyBorder="1" applyAlignment="1">
      <alignment horizontal="left" vertical="center"/>
    </xf>
    <xf numFmtId="0" fontId="3" fillId="12" borderId="8" xfId="4" applyFill="1" applyBorder="1" applyAlignment="1">
      <alignment horizontal="left" vertical="center"/>
    </xf>
    <xf numFmtId="0" fontId="75" fillId="8" borderId="0" xfId="4" applyFont="1" applyFill="1"/>
    <xf numFmtId="167" fontId="75" fillId="8" borderId="0" xfId="4" applyNumberFormat="1" applyFont="1" applyFill="1" applyAlignment="1">
      <alignment horizontal="right"/>
    </xf>
    <xf numFmtId="0" fontId="75" fillId="8" borderId="0" xfId="4" applyFont="1" applyFill="1" applyAlignment="1">
      <alignment horizontal="left" vertical="center"/>
    </xf>
    <xf numFmtId="165" fontId="75" fillId="8" borderId="0" xfId="4" applyNumberFormat="1" applyFont="1" applyFill="1"/>
    <xf numFmtId="167" fontId="3" fillId="17" borderId="11" xfId="4" applyNumberFormat="1" applyFill="1" applyBorder="1" applyAlignment="1">
      <alignment horizontal="center" vertical="center"/>
    </xf>
    <xf numFmtId="167" fontId="3" fillId="8" borderId="11" xfId="4" applyNumberFormat="1" applyFill="1" applyBorder="1" applyAlignment="1">
      <alignment horizontal="center" vertical="center"/>
    </xf>
    <xf numFmtId="0" fontId="3" fillId="17" borderId="70" xfId="4" applyFill="1" applyBorder="1" applyAlignment="1">
      <alignment horizontal="center" vertical="center"/>
    </xf>
    <xf numFmtId="0" fontId="3" fillId="8" borderId="70" xfId="4" applyFill="1" applyBorder="1" applyAlignment="1">
      <alignment horizontal="center" vertical="center"/>
    </xf>
    <xf numFmtId="0" fontId="48" fillId="8" borderId="11" xfId="4" applyFont="1" applyFill="1" applyBorder="1" applyAlignment="1">
      <alignment horizontal="center" vertical="center"/>
    </xf>
    <xf numFmtId="0" fontId="59" fillId="8" borderId="0" xfId="4" applyFont="1" applyFill="1" applyAlignment="1">
      <alignment horizontal="left" vertical="center"/>
    </xf>
    <xf numFmtId="0" fontId="54" fillId="3" borderId="69" xfId="4" applyFont="1" applyFill="1" applyBorder="1" applyAlignment="1">
      <alignment horizontal="center" vertical="center"/>
    </xf>
    <xf numFmtId="49" fontId="73" fillId="14" borderId="68" xfId="4" applyNumberFormat="1" applyFont="1" applyFill="1" applyBorder="1" applyAlignment="1">
      <alignment horizontal="center" vertical="center"/>
    </xf>
    <xf numFmtId="0" fontId="73" fillId="14" borderId="47" xfId="4" applyFont="1" applyFill="1" applyBorder="1" applyAlignment="1">
      <alignment horizontal="center" vertical="center"/>
    </xf>
    <xf numFmtId="167" fontId="76" fillId="0" borderId="0" xfId="4" applyNumberFormat="1" applyFont="1" applyFill="1" applyAlignment="1">
      <alignment horizontal="right" vertical="center"/>
    </xf>
    <xf numFmtId="165" fontId="76" fillId="8" borderId="0" xfId="4" applyNumberFormat="1" applyFont="1" applyFill="1" applyAlignment="1">
      <alignment vertical="center"/>
    </xf>
    <xf numFmtId="49" fontId="59" fillId="8" borderId="0" xfId="4" applyNumberFormat="1" applyFont="1" applyFill="1" applyAlignment="1" applyProtection="1">
      <alignment horizontal="left" vertical="center"/>
      <protection locked="0" hidden="1"/>
    </xf>
    <xf numFmtId="0" fontId="59" fillId="8" borderId="0" xfId="4" applyFont="1" applyFill="1" applyAlignment="1" applyProtection="1">
      <alignment horizontal="left" vertical="center"/>
      <protection locked="0" hidden="1"/>
    </xf>
    <xf numFmtId="0" fontId="3" fillId="8" borderId="0" xfId="4" applyFont="1" applyFill="1" applyAlignment="1" applyProtection="1">
      <alignment vertical="center"/>
      <protection locked="0" hidden="1"/>
    </xf>
    <xf numFmtId="0" fontId="55" fillId="12" borderId="0" xfId="0" applyFont="1" applyFill="1" applyAlignment="1"/>
    <xf numFmtId="0" fontId="59" fillId="8" borderId="0" xfId="4" applyFont="1" applyFill="1"/>
    <xf numFmtId="0" fontId="76" fillId="8" borderId="0" xfId="4" applyFont="1" applyFill="1" applyAlignment="1">
      <alignment horizontal="left"/>
    </xf>
    <xf numFmtId="0" fontId="48" fillId="0" borderId="22" xfId="0" applyFont="1" applyBorder="1"/>
    <xf numFmtId="0" fontId="17" fillId="24" borderId="0" xfId="0" applyFont="1" applyFill="1" applyProtection="1"/>
    <xf numFmtId="0" fontId="17" fillId="12" borderId="35" xfId="0" applyFont="1" applyFill="1" applyBorder="1" applyProtection="1"/>
    <xf numFmtId="169" fontId="17" fillId="12" borderId="39" xfId="0" applyNumberFormat="1" applyFont="1" applyFill="1" applyBorder="1" applyAlignment="1" applyProtection="1">
      <alignment horizontal="center"/>
    </xf>
    <xf numFmtId="0" fontId="17" fillId="12" borderId="39" xfId="0" applyFont="1" applyFill="1" applyBorder="1" applyProtection="1"/>
    <xf numFmtId="0" fontId="17" fillId="8" borderId="39" xfId="0" applyFont="1" applyFill="1" applyBorder="1" applyProtection="1"/>
    <xf numFmtId="0" fontId="17" fillId="12" borderId="36" xfId="0" applyFont="1" applyFill="1" applyBorder="1" applyProtection="1"/>
    <xf numFmtId="0" fontId="17" fillId="12" borderId="23" xfId="0" applyFont="1" applyFill="1" applyBorder="1" applyProtection="1"/>
    <xf numFmtId="0" fontId="3" fillId="8" borderId="39" xfId="0" applyFont="1" applyFill="1" applyBorder="1" applyAlignment="1" applyProtection="1">
      <alignment horizontal="right" vertical="center"/>
    </xf>
    <xf numFmtId="0" fontId="3" fillId="8" borderId="39" xfId="0" applyNumberFormat="1" applyFont="1" applyFill="1" applyBorder="1" applyAlignment="1" applyProtection="1">
      <alignment horizontal="right" vertical="center"/>
    </xf>
    <xf numFmtId="0" fontId="3" fillId="8" borderId="35" xfId="0" applyFont="1" applyFill="1" applyBorder="1" applyAlignment="1" applyProtection="1">
      <alignment vertical="center"/>
    </xf>
    <xf numFmtId="0" fontId="3" fillId="8" borderId="35" xfId="0" applyFont="1" applyFill="1" applyBorder="1" applyAlignment="1" applyProtection="1">
      <alignment horizontal="right"/>
    </xf>
    <xf numFmtId="0" fontId="3" fillId="8" borderId="35" xfId="0" applyNumberFormat="1" applyFont="1" applyFill="1" applyBorder="1" applyAlignment="1" applyProtection="1">
      <alignment horizontal="right"/>
    </xf>
    <xf numFmtId="0" fontId="3" fillId="8" borderId="35" xfId="0" applyFont="1" applyFill="1" applyBorder="1" applyAlignment="1" applyProtection="1"/>
    <xf numFmtId="0" fontId="50" fillId="8" borderId="39" xfId="0" applyFont="1" applyFill="1" applyBorder="1" applyAlignment="1" applyProtection="1">
      <alignment horizontal="right" vertical="center"/>
    </xf>
    <xf numFmtId="0" fontId="4" fillId="15" borderId="39" xfId="0" applyNumberFormat="1" applyFont="1" applyFill="1" applyBorder="1" applyAlignment="1" applyProtection="1">
      <alignment vertical="center"/>
      <protection locked="0"/>
    </xf>
    <xf numFmtId="0" fontId="4" fillId="12" borderId="26" xfId="0" applyNumberFormat="1" applyFont="1" applyFill="1" applyBorder="1" applyAlignment="1" applyProtection="1">
      <alignment vertical="center"/>
    </xf>
    <xf numFmtId="0" fontId="3" fillId="8" borderId="35" xfId="0" applyFont="1" applyFill="1" applyBorder="1" applyAlignment="1" applyProtection="1">
      <alignment horizontal="left"/>
    </xf>
    <xf numFmtId="1" fontId="49" fillId="8" borderId="25" xfId="0" applyNumberFormat="1" applyFont="1" applyFill="1" applyBorder="1" applyAlignment="1" applyProtection="1">
      <alignment horizontal="right"/>
    </xf>
    <xf numFmtId="0" fontId="3" fillId="8" borderId="36" xfId="0" applyFont="1" applyFill="1" applyBorder="1" applyAlignment="1" applyProtection="1">
      <alignment vertical="center"/>
    </xf>
    <xf numFmtId="0" fontId="60" fillId="13" borderId="35" xfId="0" applyFont="1" applyFill="1" applyBorder="1" applyAlignment="1" applyProtection="1">
      <alignment vertical="center"/>
    </xf>
    <xf numFmtId="0" fontId="17" fillId="13" borderId="35" xfId="0" applyFont="1" applyFill="1" applyBorder="1" applyProtection="1"/>
    <xf numFmtId="0" fontId="78" fillId="13" borderId="62" xfId="0" applyFont="1" applyFill="1" applyBorder="1" applyAlignment="1" applyProtection="1">
      <alignment vertical="center"/>
    </xf>
    <xf numFmtId="0" fontId="23" fillId="24" borderId="0" xfId="0" applyFont="1" applyFill="1" applyBorder="1" applyAlignment="1" applyProtection="1">
      <alignment horizontal="right" vertical="center"/>
    </xf>
    <xf numFmtId="20" fontId="0" fillId="0" borderId="0" xfId="0" applyNumberFormat="1"/>
    <xf numFmtId="166" fontId="0" fillId="0" borderId="0" xfId="0" applyNumberFormat="1" applyFill="1" applyBorder="1"/>
    <xf numFmtId="183" fontId="0" fillId="0" borderId="0" xfId="0" applyNumberFormat="1" applyBorder="1" applyAlignment="1">
      <alignment horizontal="right"/>
    </xf>
    <xf numFmtId="183" fontId="0" fillId="19" borderId="0" xfId="0" applyNumberFormat="1" applyFill="1" applyBorder="1" applyAlignment="1">
      <alignment horizontal="right"/>
    </xf>
    <xf numFmtId="0" fontId="0" fillId="0" borderId="22" xfId="0" applyBorder="1" applyAlignment="1">
      <alignment horizontal="left"/>
    </xf>
    <xf numFmtId="1" fontId="3" fillId="8" borderId="39" xfId="0" applyNumberFormat="1" applyFont="1" applyFill="1" applyBorder="1" applyAlignment="1" applyProtection="1">
      <alignment horizontal="right" vertical="center"/>
    </xf>
    <xf numFmtId="0" fontId="3" fillId="8" borderId="40" xfId="0" applyFont="1" applyFill="1" applyBorder="1" applyAlignment="1" applyProtection="1">
      <alignment vertical="center"/>
    </xf>
    <xf numFmtId="165" fontId="3" fillId="4" borderId="35" xfId="4" applyNumberFormat="1" applyFill="1" applyBorder="1"/>
    <xf numFmtId="165" fontId="3" fillId="27" borderId="0" xfId="4" applyNumberFormat="1" applyFill="1" applyAlignment="1">
      <alignment horizontal="center" vertical="center" wrapText="1"/>
    </xf>
    <xf numFmtId="9" fontId="3" fillId="0" borderId="47" xfId="4" applyNumberFormat="1" applyFont="1" applyFill="1" applyBorder="1" applyProtection="1">
      <protection locked="0"/>
    </xf>
    <xf numFmtId="165" fontId="4" fillId="26" borderId="0" xfId="4" applyNumberFormat="1" applyFont="1" applyFill="1" applyAlignment="1">
      <alignment horizontal="center" vertical="center" wrapText="1"/>
    </xf>
    <xf numFmtId="165" fontId="0" fillId="0" borderId="0" xfId="0" applyNumberFormat="1"/>
    <xf numFmtId="2" fontId="3" fillId="0" borderId="0" xfId="7" applyNumberFormat="1" applyFont="1"/>
    <xf numFmtId="2" fontId="4" fillId="0" borderId="0" xfId="0" applyNumberFormat="1" applyFont="1"/>
    <xf numFmtId="167" fontId="4" fillId="0" borderId="0" xfId="4" applyNumberFormat="1" applyFont="1"/>
    <xf numFmtId="166" fontId="4" fillId="0" borderId="0" xfId="4" applyNumberFormat="1" applyFont="1"/>
    <xf numFmtId="0" fontId="4" fillId="4" borderId="0" xfId="4" applyFont="1" applyFill="1" applyBorder="1" applyAlignment="1">
      <alignment horizontal="left"/>
    </xf>
    <xf numFmtId="2" fontId="3" fillId="0" borderId="0" xfId="0" applyNumberFormat="1" applyFont="1"/>
    <xf numFmtId="167" fontId="3" fillId="0" borderId="0" xfId="4" applyNumberFormat="1" applyFont="1"/>
    <xf numFmtId="2" fontId="3" fillId="0" borderId="0" xfId="4" applyNumberFormat="1" applyFont="1"/>
    <xf numFmtId="1" fontId="3" fillId="0" borderId="0" xfId="4" applyNumberFormat="1" applyFont="1"/>
    <xf numFmtId="166" fontId="3" fillId="0" borderId="0" xfId="0" applyNumberFormat="1" applyFont="1"/>
    <xf numFmtId="166" fontId="4" fillId="0" borderId="0" xfId="0" applyNumberFormat="1" applyFont="1"/>
    <xf numFmtId="0" fontId="4" fillId="4" borderId="35" xfId="4" applyFont="1" applyFill="1" applyBorder="1" applyAlignment="1"/>
    <xf numFmtId="167" fontId="3" fillId="0" borderId="0" xfId="7" applyNumberFormat="1" applyFont="1"/>
    <xf numFmtId="1" fontId="4" fillId="17" borderId="6" xfId="4" applyNumberFormat="1" applyFont="1" applyFill="1" applyBorder="1" applyAlignment="1">
      <alignment horizontal="center" vertical="center" wrapText="1"/>
    </xf>
    <xf numFmtId="1" fontId="4" fillId="25" borderId="55" xfId="4" applyNumberFormat="1" applyFont="1" applyFill="1" applyBorder="1" applyAlignment="1">
      <alignment horizontal="center" vertical="center" wrapText="1"/>
    </xf>
    <xf numFmtId="1" fontId="4" fillId="0" borderId="55" xfId="4" applyNumberFormat="1" applyFont="1" applyFill="1" applyBorder="1" applyAlignment="1">
      <alignment horizontal="center" vertical="center" wrapText="1"/>
    </xf>
    <xf numFmtId="1" fontId="0" fillId="0" borderId="0" xfId="0" applyNumberFormat="1"/>
    <xf numFmtId="1" fontId="4" fillId="0" borderId="0" xfId="0" applyNumberFormat="1" applyFont="1"/>
    <xf numFmtId="1" fontId="4" fillId="17" borderId="55" xfId="4" applyNumberFormat="1" applyFont="1" applyFill="1" applyBorder="1" applyAlignment="1">
      <alignment horizontal="center" vertical="center" wrapText="1"/>
    </xf>
    <xf numFmtId="1" fontId="4" fillId="28" borderId="55" xfId="4" applyNumberFormat="1" applyFont="1" applyFill="1" applyBorder="1" applyAlignment="1">
      <alignment horizontal="center" vertical="center" wrapText="1"/>
    </xf>
    <xf numFmtId="1" fontId="4" fillId="12" borderId="55" xfId="4" applyNumberFormat="1" applyFont="1" applyFill="1" applyBorder="1" applyAlignment="1">
      <alignment horizontal="center" vertical="center" wrapText="1"/>
    </xf>
    <xf numFmtId="1" fontId="3" fillId="20" borderId="0" xfId="0" applyNumberFormat="1" applyFont="1" applyFill="1" applyBorder="1"/>
    <xf numFmtId="167" fontId="15" fillId="18" borderId="0" xfId="0" applyNumberFormat="1" applyFont="1" applyFill="1" applyBorder="1" applyAlignment="1">
      <alignment horizontal="right"/>
    </xf>
    <xf numFmtId="176" fontId="27" fillId="0" borderId="0" xfId="0" applyNumberFormat="1" applyFont="1" applyFill="1" applyBorder="1"/>
    <xf numFmtId="0" fontId="3" fillId="0" borderId="33" xfId="0" applyFont="1" applyBorder="1"/>
    <xf numFmtId="167" fontId="27" fillId="4" borderId="0" xfId="0" applyNumberFormat="1" applyFont="1" applyFill="1" applyBorder="1"/>
    <xf numFmtId="165" fontId="27" fillId="0" borderId="0" xfId="0" applyNumberFormat="1" applyFont="1" applyFill="1" applyBorder="1"/>
    <xf numFmtId="166" fontId="3" fillId="5" borderId="0" xfId="0" applyNumberFormat="1" applyFont="1" applyFill="1" applyBorder="1"/>
    <xf numFmtId="2" fontId="0" fillId="0" borderId="0" xfId="0" applyNumberFormat="1" applyFill="1" applyBorder="1" applyAlignment="1">
      <alignment horizontal="right"/>
    </xf>
    <xf numFmtId="1" fontId="4" fillId="2" borderId="73" xfId="4" applyNumberFormat="1" applyFont="1" applyFill="1" applyBorder="1" applyAlignment="1">
      <alignment horizontal="center" vertical="center" wrapText="1"/>
    </xf>
    <xf numFmtId="0" fontId="4" fillId="4" borderId="22" xfId="4" applyFont="1" applyFill="1" applyBorder="1" applyAlignment="1">
      <alignment horizontal="left"/>
    </xf>
    <xf numFmtId="0" fontId="4" fillId="4" borderId="74" xfId="4" applyFont="1" applyFill="1" applyBorder="1" applyAlignment="1">
      <alignment horizontal="left"/>
    </xf>
    <xf numFmtId="0" fontId="3" fillId="12" borderId="39" xfId="0" applyFont="1" applyFill="1" applyBorder="1" applyProtection="1"/>
    <xf numFmtId="0" fontId="17" fillId="12" borderId="40" xfId="0" applyFont="1" applyFill="1" applyBorder="1" applyProtection="1"/>
    <xf numFmtId="0" fontId="3" fillId="0" borderId="0" xfId="0" applyNumberFormat="1" applyFont="1"/>
    <xf numFmtId="0" fontId="79" fillId="0" borderId="0" xfId="0" applyFont="1" applyAlignment="1">
      <alignment horizontal="right"/>
    </xf>
    <xf numFmtId="1" fontId="3" fillId="0" borderId="0" xfId="0" applyNumberFormat="1" applyFont="1"/>
    <xf numFmtId="167" fontId="3" fillId="0" borderId="0" xfId="0" applyNumberFormat="1" applyFont="1"/>
    <xf numFmtId="1" fontId="50" fillId="15" borderId="0" xfId="0" applyNumberFormat="1" applyFont="1" applyFill="1" applyBorder="1" applyAlignment="1" applyProtection="1">
      <alignment horizontal="right" vertical="center"/>
      <protection locked="0"/>
    </xf>
    <xf numFmtId="0" fontId="17" fillId="12" borderId="62" xfId="0" applyFont="1" applyFill="1" applyBorder="1" applyProtection="1"/>
    <xf numFmtId="0" fontId="4" fillId="12" borderId="35" xfId="0" applyFont="1" applyFill="1" applyBorder="1" applyAlignment="1" applyProtection="1">
      <alignment horizontal="right"/>
    </xf>
    <xf numFmtId="0" fontId="4" fillId="12" borderId="64" xfId="0" applyFont="1" applyFill="1" applyBorder="1" applyProtection="1"/>
    <xf numFmtId="0" fontId="80" fillId="0" borderId="0" xfId="0" applyFont="1" applyAlignment="1">
      <alignment vertical="center" wrapText="1"/>
    </xf>
    <xf numFmtId="0" fontId="3" fillId="0" borderId="0" xfId="0" applyNumberFormat="1" applyFont="1" applyFill="1" applyBorder="1" applyAlignment="1" applyProtection="1">
      <alignment horizontal="right" vertical="center"/>
    </xf>
    <xf numFmtId="0" fontId="4" fillId="15" borderId="35" xfId="0" applyFont="1" applyFill="1" applyBorder="1" applyProtection="1">
      <protection locked="0"/>
    </xf>
    <xf numFmtId="0" fontId="0" fillId="18" borderId="0" xfId="0" applyNumberFormat="1" applyFill="1" applyBorder="1"/>
    <xf numFmtId="0" fontId="0" fillId="4" borderId="0" xfId="0" applyNumberFormat="1" applyFill="1" applyBorder="1"/>
    <xf numFmtId="0" fontId="0" fillId="23" borderId="0" xfId="0" applyNumberFormat="1" applyFill="1" applyBorder="1"/>
    <xf numFmtId="0" fontId="4" fillId="8" borderId="35" xfId="0" applyFont="1" applyFill="1" applyBorder="1" applyProtection="1"/>
    <xf numFmtId="0" fontId="3" fillId="8" borderId="35" xfId="0" applyFont="1" applyFill="1" applyBorder="1" applyProtection="1"/>
    <xf numFmtId="0" fontId="4" fillId="0" borderId="0" xfId="0" applyFont="1" applyAlignment="1">
      <alignment horizontal="left"/>
    </xf>
    <xf numFmtId="49" fontId="3" fillId="0" borderId="0" xfId="0" applyNumberFormat="1" applyFont="1" applyBorder="1" applyAlignment="1">
      <alignment horizontal="left"/>
    </xf>
    <xf numFmtId="167" fontId="49" fillId="12" borderId="35" xfId="0" applyNumberFormat="1" applyFont="1" applyFill="1" applyBorder="1" applyAlignment="1" applyProtection="1">
      <alignment vertical="center"/>
    </xf>
    <xf numFmtId="165" fontId="3" fillId="0" borderId="0" xfId="0" applyNumberFormat="1" applyFont="1"/>
    <xf numFmtId="1" fontId="4" fillId="12" borderId="0" xfId="0" applyNumberFormat="1" applyFont="1" applyFill="1" applyBorder="1" applyAlignment="1" applyProtection="1">
      <alignment vertical="center"/>
    </xf>
    <xf numFmtId="1" fontId="66" fillId="0" borderId="0" xfId="0" applyNumberFormat="1" applyFont="1" applyFill="1" applyBorder="1" applyAlignment="1" applyProtection="1">
      <alignment horizontal="right" vertical="center"/>
    </xf>
    <xf numFmtId="167" fontId="4" fillId="15" borderId="0" xfId="0" applyNumberFormat="1" applyFont="1" applyFill="1" applyBorder="1" applyAlignment="1" applyProtection="1">
      <alignment horizontal="right" vertical="center"/>
      <protection locked="0"/>
    </xf>
    <xf numFmtId="0" fontId="22" fillId="8" borderId="67" xfId="0" applyFont="1" applyFill="1" applyBorder="1" applyAlignment="1" applyProtection="1">
      <alignment vertical="center"/>
    </xf>
    <xf numFmtId="0" fontId="17" fillId="8" borderId="35" xfId="0" applyFont="1" applyFill="1" applyBorder="1" applyProtection="1"/>
    <xf numFmtId="0" fontId="45" fillId="8" borderId="75" xfId="0" applyFont="1" applyFill="1" applyBorder="1" applyProtection="1"/>
    <xf numFmtId="0" fontId="45" fillId="8" borderId="76" xfId="0" applyFont="1" applyFill="1" applyBorder="1" applyProtection="1"/>
    <xf numFmtId="0" fontId="45" fillId="8" borderId="77" xfId="0" applyFont="1" applyFill="1" applyBorder="1" applyProtection="1"/>
    <xf numFmtId="2" fontId="3" fillId="18" borderId="0" xfId="0" applyNumberFormat="1" applyFont="1" applyFill="1" applyBorder="1"/>
    <xf numFmtId="0" fontId="0" fillId="18" borderId="0" xfId="0" applyNumberFormat="1" applyFill="1"/>
    <xf numFmtId="2" fontId="4" fillId="0" borderId="0" xfId="0" applyNumberFormat="1" applyFont="1" applyBorder="1" applyAlignment="1">
      <alignment horizontal="right"/>
    </xf>
    <xf numFmtId="1" fontId="3" fillId="4" borderId="0" xfId="0" applyNumberFormat="1" applyFont="1" applyFill="1" applyBorder="1"/>
    <xf numFmtId="2" fontId="4" fillId="0" borderId="0" xfId="0" applyNumberFormat="1" applyFont="1" applyFill="1" applyBorder="1"/>
    <xf numFmtId="0" fontId="3" fillId="0" borderId="22" xfId="0" applyFont="1" applyFill="1" applyBorder="1"/>
    <xf numFmtId="2" fontId="7" fillId="0" borderId="2" xfId="0" applyNumberFormat="1" applyFont="1" applyFill="1" applyBorder="1"/>
    <xf numFmtId="166" fontId="4" fillId="0" borderId="2" xfId="0" applyNumberFormat="1" applyFont="1" applyFill="1" applyBorder="1"/>
    <xf numFmtId="0" fontId="81" fillId="0" borderId="22" xfId="0" applyFont="1" applyBorder="1"/>
    <xf numFmtId="0" fontId="48" fillId="0" borderId="0" xfId="0" applyFont="1" applyBorder="1"/>
    <xf numFmtId="0" fontId="27" fillId="18" borderId="0" xfId="0" applyNumberFormat="1" applyFont="1" applyFill="1" applyBorder="1" applyAlignment="1">
      <alignment horizontal="right"/>
    </xf>
    <xf numFmtId="179" fontId="3" fillId="16" borderId="8" xfId="4" applyNumberFormat="1" applyFill="1" applyBorder="1" applyAlignment="1">
      <alignment horizontal="left" vertical="center"/>
    </xf>
    <xf numFmtId="179" fontId="3" fillId="16" borderId="9" xfId="4" applyNumberFormat="1" applyFill="1" applyBorder="1" applyAlignment="1">
      <alignment horizontal="left" vertical="center"/>
    </xf>
    <xf numFmtId="0" fontId="3" fillId="8" borderId="0" xfId="0" applyFont="1" applyFill="1" applyBorder="1" applyAlignment="1" applyProtection="1">
      <alignment horizontal="right" vertical="top"/>
    </xf>
    <xf numFmtId="0" fontId="3" fillId="8" borderId="38" xfId="0" applyFont="1" applyFill="1" applyBorder="1" applyAlignment="1" applyProtection="1">
      <alignment horizontal="right"/>
    </xf>
    <xf numFmtId="0" fontId="48" fillId="0" borderId="0" xfId="0" applyFont="1" applyAlignment="1">
      <alignment horizontal="right"/>
    </xf>
    <xf numFmtId="0" fontId="4" fillId="2" borderId="19" xfId="4" applyFont="1" applyFill="1" applyBorder="1" applyAlignment="1">
      <alignment horizontal="center" vertical="center" wrapText="1"/>
    </xf>
    <xf numFmtId="165" fontId="4" fillId="26" borderId="19" xfId="4" applyNumberFormat="1" applyFont="1" applyFill="1" applyBorder="1" applyAlignment="1">
      <alignment horizontal="center" vertical="center" wrapText="1"/>
    </xf>
    <xf numFmtId="165" fontId="4" fillId="26" borderId="20" xfId="4" applyNumberFormat="1" applyFont="1" applyFill="1" applyBorder="1" applyAlignment="1">
      <alignment horizontal="center" vertical="center" wrapText="1"/>
    </xf>
    <xf numFmtId="165" fontId="4" fillId="26" borderId="73" xfId="4" applyNumberFormat="1" applyFont="1" applyFill="1" applyBorder="1" applyAlignment="1">
      <alignment horizontal="center" vertical="center" wrapText="1"/>
    </xf>
    <xf numFmtId="165" fontId="4" fillId="26" borderId="39" xfId="4" applyNumberFormat="1" applyFont="1" applyFill="1" applyBorder="1" applyAlignment="1">
      <alignment horizontal="center" vertical="center" wrapText="1"/>
    </xf>
    <xf numFmtId="1" fontId="4" fillId="15" borderId="55" xfId="4" applyNumberFormat="1" applyFont="1" applyFill="1" applyBorder="1" applyAlignment="1">
      <alignment horizontal="center" vertical="center" wrapText="1"/>
    </xf>
    <xf numFmtId="1" fontId="4" fillId="15" borderId="6" xfId="4" applyNumberFormat="1" applyFont="1" applyFill="1" applyBorder="1" applyAlignment="1">
      <alignment horizontal="center" vertical="center" wrapText="1"/>
    </xf>
    <xf numFmtId="167" fontId="3" fillId="8" borderId="35" xfId="0" applyNumberFormat="1" applyFont="1" applyFill="1" applyBorder="1" applyAlignment="1" applyProtection="1">
      <alignment horizontal="right" vertical="center"/>
    </xf>
    <xf numFmtId="2" fontId="48" fillId="0" borderId="0" xfId="0" applyNumberFormat="1" applyFont="1" applyAlignment="1">
      <alignment horizontal="left"/>
    </xf>
    <xf numFmtId="2" fontId="48" fillId="0" borderId="0" xfId="0" applyNumberFormat="1" applyFont="1" applyAlignment="1">
      <alignment horizontal="right"/>
    </xf>
    <xf numFmtId="166" fontId="4" fillId="0" borderId="0" xfId="0" applyNumberFormat="1" applyFont="1" applyAlignment="1">
      <alignment horizontal="right"/>
    </xf>
    <xf numFmtId="166" fontId="0" fillId="0" borderId="0" xfId="0" applyNumberFormat="1" applyAlignment="1">
      <alignment horizontal="right"/>
    </xf>
    <xf numFmtId="0" fontId="3" fillId="23" borderId="0" xfId="0" applyNumberFormat="1" applyFont="1" applyFill="1" applyBorder="1"/>
    <xf numFmtId="9" fontId="0" fillId="19" borderId="0" xfId="0" applyNumberFormat="1" applyFill="1" applyBorder="1"/>
    <xf numFmtId="172" fontId="3" fillId="12" borderId="11" xfId="4" applyNumberFormat="1" applyFill="1" applyBorder="1" applyAlignment="1">
      <alignment horizontal="center" vertical="center"/>
    </xf>
    <xf numFmtId="0" fontId="3" fillId="12" borderId="70" xfId="4" applyFill="1" applyBorder="1" applyAlignment="1">
      <alignment horizontal="center" vertical="center"/>
    </xf>
    <xf numFmtId="167" fontId="3" fillId="12" borderId="11" xfId="4" applyNumberFormat="1" applyFill="1" applyBorder="1" applyAlignment="1">
      <alignment horizontal="center" vertical="center"/>
    </xf>
    <xf numFmtId="0" fontId="59" fillId="12" borderId="0" xfId="4" applyFont="1" applyFill="1" applyAlignment="1">
      <alignment horizontal="left" vertical="center"/>
    </xf>
    <xf numFmtId="0" fontId="3" fillId="12" borderId="0" xfId="4" applyFill="1" applyAlignment="1">
      <alignment vertical="center"/>
    </xf>
    <xf numFmtId="0" fontId="59" fillId="12" borderId="0" xfId="4" applyFont="1" applyFill="1" applyAlignment="1" applyProtection="1">
      <alignment horizontal="left" vertical="center"/>
      <protection locked="0" hidden="1"/>
    </xf>
    <xf numFmtId="180" fontId="3" fillId="12" borderId="8" xfId="4" applyNumberFormat="1" applyFill="1" applyBorder="1" applyAlignment="1">
      <alignment horizontal="left" vertical="center"/>
    </xf>
    <xf numFmtId="180" fontId="3" fillId="12" borderId="9" xfId="4" applyNumberFormat="1" applyFill="1" applyBorder="1" applyAlignment="1">
      <alignment horizontal="left" vertical="center"/>
    </xf>
    <xf numFmtId="0" fontId="3" fillId="17" borderId="11" xfId="4" applyNumberFormat="1" applyFill="1" applyBorder="1" applyAlignment="1">
      <alignment horizontal="center" vertical="center"/>
    </xf>
    <xf numFmtId="1" fontId="3" fillId="12" borderId="11" xfId="4" applyNumberFormat="1" applyFill="1" applyBorder="1" applyAlignment="1">
      <alignment horizontal="center" vertical="center"/>
    </xf>
    <xf numFmtId="0" fontId="4" fillId="12" borderId="0" xfId="0" applyFont="1" applyFill="1" applyBorder="1" applyAlignment="1" applyProtection="1">
      <alignment horizontal="right"/>
    </xf>
    <xf numFmtId="166" fontId="48" fillId="0" borderId="0" xfId="0" applyNumberFormat="1" applyFont="1" applyAlignment="1">
      <alignment horizontal="left"/>
    </xf>
    <xf numFmtId="167" fontId="3" fillId="8" borderId="63" xfId="0" applyNumberFormat="1" applyFont="1" applyFill="1" applyBorder="1" applyAlignment="1" applyProtection="1">
      <alignment horizontal="right" vertical="center"/>
    </xf>
    <xf numFmtId="1" fontId="49" fillId="8" borderId="35" xfId="2" applyNumberFormat="1" applyFont="1" applyFill="1" applyBorder="1" applyAlignment="1" applyProtection="1">
      <alignment horizontal="right" vertical="center"/>
    </xf>
    <xf numFmtId="0" fontId="3" fillId="8" borderId="0" xfId="0" applyNumberFormat="1" applyFont="1" applyFill="1" applyBorder="1" applyAlignment="1" applyProtection="1"/>
    <xf numFmtId="2" fontId="7" fillId="10" borderId="0" xfId="0" applyNumberFormat="1" applyFont="1" applyFill="1" applyBorder="1"/>
    <xf numFmtId="0" fontId="3" fillId="12" borderId="64" xfId="0" applyNumberFormat="1" applyFont="1" applyFill="1" applyBorder="1" applyAlignment="1" applyProtection="1">
      <alignment vertical="center"/>
    </xf>
    <xf numFmtId="164" fontId="0" fillId="0" borderId="0" xfId="0" applyNumberFormat="1"/>
    <xf numFmtId="167" fontId="3" fillId="12" borderId="0" xfId="0" applyNumberFormat="1" applyFont="1" applyFill="1" applyAlignment="1" applyProtection="1">
      <alignment horizontal="right"/>
    </xf>
    <xf numFmtId="0" fontId="3" fillId="12" borderId="23" xfId="0" applyNumberFormat="1" applyFont="1" applyFill="1" applyBorder="1" applyAlignment="1" applyProtection="1"/>
    <xf numFmtId="0" fontId="3" fillId="12" borderId="40" xfId="0" applyNumberFormat="1" applyFont="1" applyFill="1" applyBorder="1" applyAlignment="1" applyProtection="1"/>
    <xf numFmtId="2" fontId="3" fillId="8" borderId="39" xfId="0" applyNumberFormat="1" applyFont="1" applyFill="1" applyBorder="1" applyAlignment="1" applyProtection="1">
      <alignment horizontal="right"/>
    </xf>
    <xf numFmtId="168" fontId="7" fillId="0" borderId="0" xfId="0" applyNumberFormat="1" applyFont="1" applyFill="1" applyBorder="1"/>
    <xf numFmtId="11" fontId="7" fillId="0" borderId="0" xfId="0" applyNumberFormat="1" applyFont="1" applyFill="1" applyBorder="1"/>
    <xf numFmtId="0" fontId="3" fillId="0" borderId="11" xfId="0" applyFont="1" applyBorder="1"/>
    <xf numFmtId="0" fontId="0" fillId="0" borderId="11" xfId="0" applyFill="1" applyBorder="1"/>
    <xf numFmtId="177" fontId="3" fillId="16" borderId="8" xfId="4" applyNumberFormat="1" applyFill="1" applyBorder="1" applyAlignment="1">
      <alignment horizontal="left" vertical="center"/>
    </xf>
    <xf numFmtId="177" fontId="3" fillId="16" borderId="9" xfId="4" applyNumberFormat="1" applyFill="1" applyBorder="1" applyAlignment="1">
      <alignment horizontal="left" vertical="center"/>
    </xf>
    <xf numFmtId="0" fontId="54" fillId="3" borderId="69" xfId="4" applyFont="1" applyFill="1" applyBorder="1" applyAlignment="1">
      <alignment horizontal="center" vertical="center"/>
    </xf>
    <xf numFmtId="0" fontId="54" fillId="3" borderId="71" xfId="4" applyFont="1" applyFill="1" applyBorder="1" applyAlignment="1">
      <alignment horizontal="center" vertical="center"/>
    </xf>
    <xf numFmtId="0" fontId="54" fillId="3" borderId="72" xfId="4" applyFont="1" applyFill="1" applyBorder="1" applyAlignment="1">
      <alignment horizontal="center" vertical="center"/>
    </xf>
    <xf numFmtId="182" fontId="3" fillId="17" borderId="8" xfId="4" applyNumberFormat="1" applyFill="1" applyBorder="1" applyAlignment="1">
      <alignment horizontal="left" vertical="center"/>
    </xf>
    <xf numFmtId="182" fontId="3" fillId="17" borderId="9" xfId="4" applyNumberFormat="1" applyFill="1" applyBorder="1" applyAlignment="1">
      <alignment horizontal="left" vertical="center"/>
    </xf>
    <xf numFmtId="180" fontId="3" fillId="12" borderId="8" xfId="4" applyNumberFormat="1" applyFill="1" applyBorder="1" applyAlignment="1">
      <alignment horizontal="left" vertical="center"/>
    </xf>
    <xf numFmtId="180" fontId="3" fillId="12" borderId="9" xfId="4" applyNumberFormat="1" applyFill="1" applyBorder="1" applyAlignment="1">
      <alignment horizontal="left" vertical="center"/>
    </xf>
    <xf numFmtId="174" fontId="3" fillId="12" borderId="8" xfId="4" applyNumberFormat="1" applyFill="1" applyBorder="1" applyAlignment="1">
      <alignment horizontal="left" vertical="center"/>
    </xf>
    <xf numFmtId="174" fontId="3" fillId="12" borderId="9" xfId="4" applyNumberFormat="1" applyFill="1" applyBorder="1" applyAlignment="1">
      <alignment horizontal="left" vertical="center"/>
    </xf>
    <xf numFmtId="173" fontId="3" fillId="12" borderId="8" xfId="4" applyNumberFormat="1" applyFill="1" applyBorder="1" applyAlignment="1">
      <alignment horizontal="left" vertical="center" wrapText="1"/>
    </xf>
    <xf numFmtId="173" fontId="3" fillId="12" borderId="9" xfId="4" applyNumberFormat="1" applyFill="1" applyBorder="1" applyAlignment="1">
      <alignment horizontal="left" vertical="center" wrapText="1"/>
    </xf>
    <xf numFmtId="173" fontId="3" fillId="12" borderId="15" xfId="4" applyNumberFormat="1" applyFill="1" applyBorder="1" applyAlignment="1">
      <alignment horizontal="left" vertical="center" wrapText="1"/>
    </xf>
    <xf numFmtId="180" fontId="3" fillId="17" borderId="8" xfId="4" applyNumberFormat="1" applyFill="1" applyBorder="1" applyAlignment="1">
      <alignment horizontal="left" vertical="center"/>
    </xf>
    <xf numFmtId="180" fontId="3" fillId="17" borderId="9" xfId="4" applyNumberFormat="1" applyFill="1" applyBorder="1" applyAlignment="1">
      <alignment horizontal="left" vertical="center"/>
    </xf>
    <xf numFmtId="179" fontId="3" fillId="16" borderId="8" xfId="4" applyNumberFormat="1" applyFill="1" applyBorder="1" applyAlignment="1">
      <alignment horizontal="left" vertical="center"/>
    </xf>
    <xf numFmtId="179" fontId="3" fillId="16" borderId="9" xfId="4" applyNumberFormat="1" applyFill="1" applyBorder="1" applyAlignment="1">
      <alignment horizontal="left" vertical="center"/>
    </xf>
    <xf numFmtId="174" fontId="3" fillId="17" borderId="8" xfId="4" applyNumberFormat="1" applyFill="1" applyBorder="1" applyAlignment="1">
      <alignment horizontal="left" vertical="center"/>
    </xf>
    <xf numFmtId="174" fontId="3" fillId="17" borderId="9" xfId="4" applyNumberFormat="1" applyFill="1" applyBorder="1" applyAlignment="1">
      <alignment horizontal="left" vertical="center"/>
    </xf>
    <xf numFmtId="0" fontId="40" fillId="12" borderId="22" xfId="0" applyFont="1" applyFill="1" applyBorder="1" applyAlignment="1" applyProtection="1">
      <alignment horizontal="left" vertical="center"/>
    </xf>
    <xf numFmtId="0" fontId="40" fillId="12" borderId="0" xfId="0" applyFont="1" applyFill="1" applyBorder="1" applyAlignment="1" applyProtection="1">
      <alignment horizontal="left" vertical="center"/>
    </xf>
    <xf numFmtId="0" fontId="4" fillId="0" borderId="0" xfId="0" applyFont="1" applyAlignment="1">
      <alignment horizontal="center"/>
    </xf>
    <xf numFmtId="0" fontId="5" fillId="3" borderId="0" xfId="0" applyFont="1" applyFill="1" applyAlignment="1">
      <alignment horizontal="left"/>
    </xf>
    <xf numFmtId="0" fontId="4" fillId="4" borderId="71" xfId="4" applyFont="1" applyFill="1" applyBorder="1" applyAlignment="1">
      <alignment horizontal="left"/>
    </xf>
    <xf numFmtId="0" fontId="4" fillId="4" borderId="46" xfId="4" applyFont="1" applyFill="1" applyBorder="1" applyAlignment="1">
      <alignment horizontal="left"/>
    </xf>
    <xf numFmtId="0" fontId="4" fillId="4" borderId="78" xfId="4" applyFont="1" applyFill="1" applyBorder="1" applyAlignment="1">
      <alignment horizontal="left"/>
    </xf>
    <xf numFmtId="0" fontId="4" fillId="4" borderId="66" xfId="4" applyFont="1" applyFill="1" applyBorder="1" applyAlignment="1">
      <alignment horizontal="left"/>
    </xf>
    <xf numFmtId="0" fontId="13" fillId="3" borderId="0" xfId="4" applyFont="1" applyFill="1" applyAlignment="1">
      <alignment horizontal="left" vertical="center"/>
    </xf>
    <xf numFmtId="0" fontId="23" fillId="21" borderId="0" xfId="4" applyFont="1" applyFill="1" applyBorder="1" applyAlignment="1" applyProtection="1">
      <alignment horizontal="center" vertical="center"/>
    </xf>
    <xf numFmtId="0" fontId="4" fillId="0" borderId="0" xfId="4" applyFont="1" applyAlignment="1">
      <alignment horizontal="left" vertical="center" wrapText="1"/>
    </xf>
    <xf numFmtId="0" fontId="4" fillId="4" borderId="65" xfId="4" applyFont="1" applyFill="1" applyBorder="1" applyAlignment="1">
      <alignment horizontal="left"/>
    </xf>
  </cellXfs>
  <cellStyles count="8">
    <cellStyle name="Comma" xfId="2" builtinId="3"/>
    <cellStyle name="Comma 2" xfId="6"/>
    <cellStyle name="Hyperlink" xfId="3" builtinId="8"/>
    <cellStyle name="Normal" xfId="0" builtinId="0"/>
    <cellStyle name="Normal 2" xfId="4"/>
    <cellStyle name="Normal 3" xfId="5"/>
    <cellStyle name="Percent" xfId="7" builtinId="5"/>
    <cellStyle name="RowLevel_1" xfId="1" builtinId="1" iLevel="0"/>
  </cellStyles>
  <dxfs count="60">
    <dxf>
      <border>
        <left style="thin">
          <color indexed="64"/>
        </left>
        <right style="thin">
          <color indexed="64"/>
        </right>
        <top style="thin">
          <color indexed="64"/>
        </top>
        <bottom style="thin">
          <color indexed="64"/>
        </bottom>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FF99"/>
      </font>
    </dxf>
    <dxf>
      <font>
        <color theme="0"/>
      </font>
    </dxf>
    <dxf>
      <font>
        <strike val="0"/>
        <color theme="0"/>
      </font>
      <fill>
        <patternFill>
          <bgColor rgb="FFFF0000"/>
        </patternFill>
      </fill>
    </dxf>
    <dxf>
      <font>
        <color theme="0"/>
      </font>
      <fill>
        <patternFill patternType="solid">
          <fgColor auto="1"/>
          <bgColor rgb="FFFF0000"/>
        </patternFill>
      </fill>
    </dxf>
    <dxf>
      <font>
        <color theme="0"/>
      </font>
      <fill>
        <patternFill>
          <bgColor theme="0"/>
        </patternFill>
      </fill>
    </dxf>
    <dxf>
      <font>
        <b/>
        <i val="0"/>
        <color rgb="FFFF0000"/>
      </font>
    </dxf>
    <dxf>
      <font>
        <color rgb="FFFF0000"/>
      </font>
    </dxf>
    <dxf>
      <border>
        <top/>
        <bottom/>
        <vertical/>
        <horizontal/>
      </border>
    </dxf>
    <dxf>
      <border>
        <left/>
        <right/>
        <top/>
        <bottom/>
        <vertical/>
        <horizontal/>
      </border>
    </dxf>
    <dxf>
      <font>
        <color theme="0"/>
      </font>
      <fill>
        <patternFill>
          <bgColor theme="0"/>
        </patternFill>
      </fill>
      <border>
        <right/>
        <top/>
        <bottom/>
      </border>
    </dxf>
    <dxf>
      <border>
        <bottom/>
        <vertical/>
        <horizontal/>
      </border>
    </dxf>
    <dxf>
      <border>
        <bottom/>
        <vertical/>
        <horizontal/>
      </border>
    </dxf>
    <dxf>
      <border>
        <right/>
        <vertical/>
        <horizontal/>
      </border>
    </dxf>
    <dxf>
      <border>
        <bottom/>
        <vertical/>
        <horizontal/>
      </border>
    </dxf>
    <dxf>
      <font>
        <strike val="0"/>
        <color theme="0"/>
      </font>
      <fill>
        <patternFill>
          <bgColor theme="0"/>
        </patternFill>
      </fill>
    </dxf>
    <dxf>
      <font>
        <color rgb="FFFF0000"/>
      </font>
    </dxf>
    <dxf>
      <font>
        <color rgb="FFFF0000"/>
      </font>
    </dxf>
    <dxf>
      <font>
        <color rgb="FFFF0000"/>
      </font>
    </dxf>
    <dxf>
      <font>
        <color theme="0"/>
      </font>
      <fill>
        <patternFill>
          <bgColor theme="0"/>
        </patternFill>
      </fill>
    </dxf>
    <dxf>
      <font>
        <b/>
        <i val="0"/>
        <color rgb="FFC00000"/>
      </font>
    </dxf>
    <dxf>
      <font>
        <color rgb="FFFF0000"/>
      </font>
    </dxf>
    <dxf>
      <font>
        <color rgb="FFFF0000"/>
      </font>
    </dxf>
    <dxf>
      <font>
        <color rgb="FFFF0000"/>
      </font>
    </dxf>
    <dxf>
      <font>
        <b/>
        <i val="0"/>
        <color rgb="FFFF0000"/>
      </font>
    </dxf>
    <dxf>
      <font>
        <b/>
        <i val="0"/>
        <condense val="0"/>
        <extend val="0"/>
        <color indexed="12"/>
      </font>
    </dxf>
    <dxf>
      <font>
        <b/>
        <i val="0"/>
        <condense val="0"/>
        <extend val="0"/>
        <color indexed="10"/>
      </font>
    </dxf>
    <dxf>
      <font>
        <color rgb="FFFF0000"/>
      </font>
    </dxf>
    <dxf>
      <font>
        <color rgb="FFFF0000"/>
      </font>
    </dxf>
    <dxf>
      <font>
        <color rgb="FFFF0000"/>
      </font>
    </dxf>
    <dxf>
      <font>
        <color rgb="FFFF0000"/>
      </font>
    </dxf>
    <dxf>
      <border>
        <right/>
        <vertical/>
        <horizontal/>
      </border>
    </dxf>
    <dxf>
      <border>
        <left/>
        <right/>
        <top/>
        <bottom/>
        <vertical/>
        <horizontal/>
      </border>
    </dxf>
    <dxf>
      <border>
        <bottom/>
        <vertical/>
        <horizontal/>
      </border>
    </dxf>
    <dxf>
      <font>
        <color rgb="FFFF0000"/>
      </font>
    </dxf>
    <dxf>
      <font>
        <color rgb="FFFF0000"/>
      </font>
    </dxf>
    <dxf>
      <font>
        <b/>
        <i val="0"/>
        <color rgb="FFFF0000"/>
      </font>
    </dxf>
    <dxf>
      <font>
        <b/>
        <i val="0"/>
        <color rgb="FFC00000"/>
      </font>
    </dxf>
    <dxf>
      <font>
        <color theme="0"/>
      </font>
      <fill>
        <patternFill>
          <bgColor theme="0"/>
        </patternFill>
      </fill>
    </dxf>
    <dxf>
      <font>
        <b/>
        <i val="0"/>
        <color rgb="FFC00000"/>
      </font>
    </dxf>
    <dxf>
      <font>
        <color theme="0"/>
      </font>
    </dxf>
    <dxf>
      <font>
        <b/>
        <i val="0"/>
        <color rgb="FFC00000"/>
      </font>
    </dxf>
    <dxf>
      <font>
        <color theme="0"/>
      </font>
      <fill>
        <patternFill>
          <bgColor theme="0"/>
        </patternFill>
      </fill>
    </dxf>
    <dxf>
      <font>
        <color theme="0"/>
      </font>
    </dxf>
    <dxf>
      <font>
        <color rgb="FFFF0000"/>
      </font>
    </dxf>
    <dxf>
      <font>
        <color rgb="FFFF0000"/>
      </font>
    </dxf>
    <dxf>
      <font>
        <color rgb="FFFF0000"/>
      </font>
    </dxf>
    <dxf>
      <font>
        <color rgb="FFFF0000"/>
      </font>
    </dxf>
    <dxf>
      <font>
        <color rgb="FFFF0000"/>
      </font>
    </dxf>
    <dxf>
      <font>
        <b/>
        <i val="0"/>
        <color rgb="FFFF0000"/>
      </font>
    </dxf>
    <dxf>
      <font>
        <b/>
        <i val="0"/>
        <condense val="0"/>
        <extend val="0"/>
        <color indexed="10"/>
      </font>
    </dxf>
  </dxfs>
  <tableStyles count="0" defaultTableStyle="TableStyleMedium9" defaultPivotStyle="PivotStyleLight16"/>
  <colors>
    <mruColors>
      <color rgb="FFCCFFFF"/>
      <color rgb="FFEE6112"/>
      <color rgb="FF0000FF"/>
      <color rgb="FFFFFF99"/>
      <color rgb="FFFFFF66"/>
      <color rgb="FFFF9900"/>
      <color rgb="FF33CC33"/>
      <color rgb="FFFF00FF"/>
      <color rgb="FF00FF00"/>
      <color rgb="FF99CC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3132914835E-2"/>
          <c:y val="0.12133523343001466"/>
          <c:w val="0.80670936294253548"/>
          <c:h val="0.7558980268938309"/>
        </c:manualLayout>
      </c:layout>
      <c:lineChart>
        <c:grouping val="standard"/>
        <c:varyColors val="0"/>
        <c:ser>
          <c:idx val="1"/>
          <c:order val="0"/>
          <c:tx>
            <c:v>VIN-min</c:v>
          </c:tx>
          <c:spPr>
            <a:ln w="19050">
              <a:solidFill>
                <a:srgbClr val="00B050"/>
              </a:solidFill>
              <a:prstDash val="lgDash"/>
            </a:ln>
          </c:spPr>
          <c:marker>
            <c:symbol val="none"/>
          </c:marker>
          <c:cat>
            <c:numRef>
              <c:f>'Calculations - Single'!$AM$5:$AM$105</c:f>
              <c:numCache>
                <c:formatCode>0</c:formatCode>
                <c:ptCount val="101"/>
                <c:pt idx="0">
                  <c:v>1.0000000000000002E-6</c:v>
                </c:pt>
                <c:pt idx="1">
                  <c:v>1.1000000000000001</c:v>
                </c:pt>
                <c:pt idx="2">
                  <c:v>2.2000000000000002</c:v>
                </c:pt>
                <c:pt idx="3">
                  <c:v>3.3</c:v>
                </c:pt>
                <c:pt idx="4">
                  <c:v>4.4000000000000004</c:v>
                </c:pt>
                <c:pt idx="5">
                  <c:v>5.5000000000000009</c:v>
                </c:pt>
                <c:pt idx="6">
                  <c:v>6.6</c:v>
                </c:pt>
                <c:pt idx="7">
                  <c:v>7.7000000000000011</c:v>
                </c:pt>
                <c:pt idx="8">
                  <c:v>8.8000000000000007</c:v>
                </c:pt>
                <c:pt idx="9">
                  <c:v>9.8999999999999986</c:v>
                </c:pt>
                <c:pt idx="10">
                  <c:v>11.000000000000002</c:v>
                </c:pt>
                <c:pt idx="11">
                  <c:v>12.1</c:v>
                </c:pt>
                <c:pt idx="12">
                  <c:v>13.2</c:v>
                </c:pt>
                <c:pt idx="13">
                  <c:v>14.3</c:v>
                </c:pt>
                <c:pt idx="14">
                  <c:v>15.400000000000002</c:v>
                </c:pt>
                <c:pt idx="15">
                  <c:v>16.5</c:v>
                </c:pt>
                <c:pt idx="16">
                  <c:v>17.600000000000001</c:v>
                </c:pt>
                <c:pt idx="17">
                  <c:v>18.700000000000003</c:v>
                </c:pt>
                <c:pt idx="18">
                  <c:v>19.799999999999997</c:v>
                </c:pt>
                <c:pt idx="19">
                  <c:v>20.900000000000002</c:v>
                </c:pt>
                <c:pt idx="20">
                  <c:v>22.000000000000004</c:v>
                </c:pt>
                <c:pt idx="21">
                  <c:v>23.099999999999998</c:v>
                </c:pt>
                <c:pt idx="22">
                  <c:v>24.2</c:v>
                </c:pt>
                <c:pt idx="23">
                  <c:v>25.3</c:v>
                </c:pt>
                <c:pt idx="24">
                  <c:v>26.4</c:v>
                </c:pt>
                <c:pt idx="25">
                  <c:v>27.5</c:v>
                </c:pt>
                <c:pt idx="26">
                  <c:v>28.6</c:v>
                </c:pt>
                <c:pt idx="27">
                  <c:v>29.7</c:v>
                </c:pt>
                <c:pt idx="28">
                  <c:v>30.800000000000004</c:v>
                </c:pt>
                <c:pt idx="29">
                  <c:v>31.9</c:v>
                </c:pt>
                <c:pt idx="30">
                  <c:v>33</c:v>
                </c:pt>
                <c:pt idx="31">
                  <c:v>34.1</c:v>
                </c:pt>
                <c:pt idx="32">
                  <c:v>35.200000000000003</c:v>
                </c:pt>
                <c:pt idx="33">
                  <c:v>36.299999999999997</c:v>
                </c:pt>
                <c:pt idx="34">
                  <c:v>37.400000000000006</c:v>
                </c:pt>
                <c:pt idx="35">
                  <c:v>38.5</c:v>
                </c:pt>
                <c:pt idx="36">
                  <c:v>39.599999999999994</c:v>
                </c:pt>
                <c:pt idx="37">
                  <c:v>40.700000000000003</c:v>
                </c:pt>
                <c:pt idx="38">
                  <c:v>41.800000000000004</c:v>
                </c:pt>
                <c:pt idx="39">
                  <c:v>42.9</c:v>
                </c:pt>
                <c:pt idx="40">
                  <c:v>44.000000000000007</c:v>
                </c:pt>
                <c:pt idx="41">
                  <c:v>45.099999999999994</c:v>
                </c:pt>
                <c:pt idx="42">
                  <c:v>46.199999999999996</c:v>
                </c:pt>
                <c:pt idx="43">
                  <c:v>47.300000000000004</c:v>
                </c:pt>
                <c:pt idx="44">
                  <c:v>48.4</c:v>
                </c:pt>
                <c:pt idx="45">
                  <c:v>49.5</c:v>
                </c:pt>
                <c:pt idx="46">
                  <c:v>50.6</c:v>
                </c:pt>
                <c:pt idx="47">
                  <c:v>51.699999999999996</c:v>
                </c:pt>
                <c:pt idx="48">
                  <c:v>52.8</c:v>
                </c:pt>
                <c:pt idx="49">
                  <c:v>53.9</c:v>
                </c:pt>
                <c:pt idx="50">
                  <c:v>55</c:v>
                </c:pt>
                <c:pt idx="51">
                  <c:v>56.1</c:v>
                </c:pt>
                <c:pt idx="52">
                  <c:v>57.2</c:v>
                </c:pt>
                <c:pt idx="53">
                  <c:v>58.300000000000004</c:v>
                </c:pt>
                <c:pt idx="54">
                  <c:v>59.4</c:v>
                </c:pt>
                <c:pt idx="55">
                  <c:v>60.500000000000007</c:v>
                </c:pt>
                <c:pt idx="56">
                  <c:v>61.600000000000009</c:v>
                </c:pt>
                <c:pt idx="57">
                  <c:v>62.699999999999989</c:v>
                </c:pt>
                <c:pt idx="58">
                  <c:v>63.8</c:v>
                </c:pt>
                <c:pt idx="59">
                  <c:v>64.900000000000006</c:v>
                </c:pt>
                <c:pt idx="60">
                  <c:v>66</c:v>
                </c:pt>
                <c:pt idx="61">
                  <c:v>67.099999999999994</c:v>
                </c:pt>
                <c:pt idx="62">
                  <c:v>68.2</c:v>
                </c:pt>
                <c:pt idx="63">
                  <c:v>69.3</c:v>
                </c:pt>
                <c:pt idx="64">
                  <c:v>70.400000000000006</c:v>
                </c:pt>
                <c:pt idx="65">
                  <c:v>71.500000000000014</c:v>
                </c:pt>
                <c:pt idx="66">
                  <c:v>72.599999999999994</c:v>
                </c:pt>
                <c:pt idx="67">
                  <c:v>73.7</c:v>
                </c:pt>
                <c:pt idx="68">
                  <c:v>74.800000000000011</c:v>
                </c:pt>
                <c:pt idx="69">
                  <c:v>75.899999999999991</c:v>
                </c:pt>
                <c:pt idx="70">
                  <c:v>77</c:v>
                </c:pt>
                <c:pt idx="71">
                  <c:v>78.100000000000009</c:v>
                </c:pt>
                <c:pt idx="72">
                  <c:v>79.199999999999989</c:v>
                </c:pt>
                <c:pt idx="73">
                  <c:v>80.3</c:v>
                </c:pt>
                <c:pt idx="74">
                  <c:v>81.400000000000006</c:v>
                </c:pt>
                <c:pt idx="75">
                  <c:v>82.5</c:v>
                </c:pt>
                <c:pt idx="76">
                  <c:v>83.600000000000009</c:v>
                </c:pt>
                <c:pt idx="77">
                  <c:v>84.7</c:v>
                </c:pt>
                <c:pt idx="78">
                  <c:v>85.8</c:v>
                </c:pt>
                <c:pt idx="79">
                  <c:v>86.9</c:v>
                </c:pt>
                <c:pt idx="80">
                  <c:v>88.000000000000014</c:v>
                </c:pt>
                <c:pt idx="81">
                  <c:v>89.100000000000009</c:v>
                </c:pt>
                <c:pt idx="82">
                  <c:v>90.199999999999989</c:v>
                </c:pt>
                <c:pt idx="83">
                  <c:v>91.3</c:v>
                </c:pt>
                <c:pt idx="84">
                  <c:v>92.399999999999991</c:v>
                </c:pt>
                <c:pt idx="85">
                  <c:v>93.5</c:v>
                </c:pt>
                <c:pt idx="86">
                  <c:v>94.600000000000009</c:v>
                </c:pt>
                <c:pt idx="87">
                  <c:v>95.699999999999989</c:v>
                </c:pt>
                <c:pt idx="88">
                  <c:v>96.8</c:v>
                </c:pt>
                <c:pt idx="89">
                  <c:v>97.9</c:v>
                </c:pt>
                <c:pt idx="90">
                  <c:v>99</c:v>
                </c:pt>
                <c:pt idx="91">
                  <c:v>100.10000000000001</c:v>
                </c:pt>
                <c:pt idx="92">
                  <c:v>101.2</c:v>
                </c:pt>
                <c:pt idx="93">
                  <c:v>102.3</c:v>
                </c:pt>
                <c:pt idx="94">
                  <c:v>103.39999999999999</c:v>
                </c:pt>
                <c:pt idx="95">
                  <c:v>104.5</c:v>
                </c:pt>
                <c:pt idx="96">
                  <c:v>105.6</c:v>
                </c:pt>
                <c:pt idx="97">
                  <c:v>106.7</c:v>
                </c:pt>
                <c:pt idx="98">
                  <c:v>107.8</c:v>
                </c:pt>
                <c:pt idx="99">
                  <c:v>108.89999999999999</c:v>
                </c:pt>
                <c:pt idx="100">
                  <c:v>110</c:v>
                </c:pt>
              </c:numCache>
            </c:numRef>
          </c:cat>
          <c:val>
            <c:numRef>
              <c:f>'Calculations - Single'!$AN$110:$AN$210</c:f>
              <c:numCache>
                <c:formatCode>0.0</c:formatCode>
                <c:ptCount val="101"/>
                <c:pt idx="0">
                  <c:v>10</c:v>
                </c:pt>
                <c:pt idx="1">
                  <c:v>13.497103245882565</c:v>
                </c:pt>
                <c:pt idx="2">
                  <c:v>26.99420649176513</c:v>
                </c:pt>
                <c:pt idx="3">
                  <c:v>40.491309737647697</c:v>
                </c:pt>
                <c:pt idx="4">
                  <c:v>53.98841298353026</c:v>
                </c:pt>
                <c:pt idx="5">
                  <c:v>67.485516229412823</c:v>
                </c:pt>
                <c:pt idx="6">
                  <c:v>80.982619475295394</c:v>
                </c:pt>
                <c:pt idx="7">
                  <c:v>94.479722721177964</c:v>
                </c:pt>
                <c:pt idx="8">
                  <c:v>107.97682596706052</c:v>
                </c:pt>
                <c:pt idx="9">
                  <c:v>121.47392921294306</c:v>
                </c:pt>
                <c:pt idx="10">
                  <c:v>134.97103245882565</c:v>
                </c:pt>
                <c:pt idx="11">
                  <c:v>148.4681357047082</c:v>
                </c:pt>
                <c:pt idx="12">
                  <c:v>161.96523895059079</c:v>
                </c:pt>
                <c:pt idx="13">
                  <c:v>175.46234219647332</c:v>
                </c:pt>
                <c:pt idx="14">
                  <c:v>188.95944544235593</c:v>
                </c:pt>
                <c:pt idx="15">
                  <c:v>202.45654868823846</c:v>
                </c:pt>
                <c:pt idx="16">
                  <c:v>215.95365193412104</c:v>
                </c:pt>
                <c:pt idx="17">
                  <c:v>229.45075518000363</c:v>
                </c:pt>
                <c:pt idx="18">
                  <c:v>242.94785842588612</c:v>
                </c:pt>
                <c:pt idx="19">
                  <c:v>256.44496167176874</c:v>
                </c:pt>
                <c:pt idx="20">
                  <c:v>269.94206491765129</c:v>
                </c:pt>
                <c:pt idx="21">
                  <c:v>283.43916816353385</c:v>
                </c:pt>
                <c:pt idx="22">
                  <c:v>296.93627140941641</c:v>
                </c:pt>
                <c:pt idx="23">
                  <c:v>310.43337465529896</c:v>
                </c:pt>
                <c:pt idx="24">
                  <c:v>323.93047790118158</c:v>
                </c:pt>
                <c:pt idx="25">
                  <c:v>337.42758114706413</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348.92450378220411</c:v>
                </c:pt>
                <c:pt idx="56">
                  <c:v>342.69370907180763</c:v>
                </c:pt>
                <c:pt idx="57">
                  <c:v>336.68153873721462</c:v>
                </c:pt>
                <c:pt idx="58">
                  <c:v>330.87668462105569</c:v>
                </c:pt>
                <c:pt idx="59">
                  <c:v>325.26860522069882</c:v>
                </c:pt>
                <c:pt idx="60">
                  <c:v>319.8474618003537</c:v>
                </c:pt>
                <c:pt idx="61">
                  <c:v>314.60406078723332</c:v>
                </c:pt>
                <c:pt idx="62">
                  <c:v>309.52980174227793</c:v>
                </c:pt>
                <c:pt idx="63">
                  <c:v>304.6166302860513</c:v>
                </c:pt>
                <c:pt idx="64">
                  <c:v>299.8569954378317</c:v>
                </c:pt>
                <c:pt idx="65">
                  <c:v>295.24381089263426</c:v>
                </c:pt>
                <c:pt idx="66">
                  <c:v>290.77041981850351</c:v>
                </c:pt>
                <c:pt idx="67">
                  <c:v>286.43056280628701</c:v>
                </c:pt>
                <c:pt idx="68">
                  <c:v>282.21834864737099</c:v>
                </c:pt>
                <c:pt idx="69">
                  <c:v>278.1282276524816</c:v>
                </c:pt>
                <c:pt idx="70">
                  <c:v>274.15496725744623</c:v>
                </c:pt>
                <c:pt idx="71">
                  <c:v>270.29362969043979</c:v>
                </c:pt>
                <c:pt idx="72">
                  <c:v>266.53955150029486</c:v>
                </c:pt>
                <c:pt idx="73">
                  <c:v>262.88832476741408</c:v>
                </c:pt>
                <c:pt idx="74">
                  <c:v>259.33577983812472</c:v>
                </c:pt>
                <c:pt idx="75">
                  <c:v>255.87796944028307</c:v>
                </c:pt>
                <c:pt idx="76">
                  <c:v>252.51115405291091</c:v>
                </c:pt>
                <c:pt idx="77">
                  <c:v>249.23178841586011</c:v>
                </c:pt>
                <c:pt idx="78">
                  <c:v>246.03650907719523</c:v>
                </c:pt>
                <c:pt idx="79">
                  <c:v>242.92212288634462</c:v>
                </c:pt>
                <c:pt idx="80">
                  <c:v>239.88559635026533</c:v>
                </c:pt>
                <c:pt idx="81">
                  <c:v>236.92404577803984</c:v>
                </c:pt>
                <c:pt idx="82">
                  <c:v>234.03472814660037</c:v>
                </c:pt>
                <c:pt idx="83">
                  <c:v>231.21503262676183</c:v>
                </c:pt>
                <c:pt idx="84">
                  <c:v>228.46247271453842</c:v>
                </c:pt>
                <c:pt idx="85">
                  <c:v>225.77467891789686</c:v>
                </c:pt>
                <c:pt idx="86">
                  <c:v>223.14939195373526</c:v>
                </c:pt>
                <c:pt idx="87">
                  <c:v>220.58445641403711</c:v>
                </c:pt>
                <c:pt idx="88">
                  <c:v>218.07781486387765</c:v>
                </c:pt>
                <c:pt idx="89">
                  <c:v>215.62750233731717</c:v>
                </c:pt>
                <c:pt idx="90">
                  <c:v>213.23164120023583</c:v>
                </c:pt>
                <c:pt idx="91">
                  <c:v>210.88843635188164</c:v>
                </c:pt>
                <c:pt idx="92">
                  <c:v>208.59617073936124</c:v>
                </c:pt>
                <c:pt idx="93">
                  <c:v>206.35320116151857</c:v>
                </c:pt>
                <c:pt idx="94">
                  <c:v>204.1579543406514</c:v>
                </c:pt>
                <c:pt idx="95">
                  <c:v>202.00892324232871</c:v>
                </c:pt>
                <c:pt idx="96">
                  <c:v>199.90466362522113</c:v>
                </c:pt>
                <c:pt idx="97">
                  <c:v>197.84379080434258</c:v>
                </c:pt>
                <c:pt idx="98">
                  <c:v>195.82497661246151</c:v>
                </c:pt>
                <c:pt idx="99">
                  <c:v>193.846946545669</c:v>
                </c:pt>
                <c:pt idx="100">
                  <c:v>191.90847708021229</c:v>
                </c:pt>
              </c:numCache>
            </c:numRef>
          </c:val>
          <c:smooth val="0"/>
        </c:ser>
        <c:ser>
          <c:idx val="0"/>
          <c:order val="1"/>
          <c:tx>
            <c:v>VIN-nom</c:v>
          </c:tx>
          <c:spPr>
            <a:ln w="19050">
              <a:solidFill>
                <a:srgbClr val="FF0000"/>
              </a:solidFill>
              <a:prstDash val="lgDash"/>
            </a:ln>
          </c:spPr>
          <c:marker>
            <c:symbol val="none"/>
          </c:marker>
          <c:cat>
            <c:numRef>
              <c:f>'Calculations - Single'!$AM$5:$AM$105</c:f>
              <c:numCache>
                <c:formatCode>0</c:formatCode>
                <c:ptCount val="101"/>
                <c:pt idx="0">
                  <c:v>1.0000000000000002E-6</c:v>
                </c:pt>
                <c:pt idx="1">
                  <c:v>1.1000000000000001</c:v>
                </c:pt>
                <c:pt idx="2">
                  <c:v>2.2000000000000002</c:v>
                </c:pt>
                <c:pt idx="3">
                  <c:v>3.3</c:v>
                </c:pt>
                <c:pt idx="4">
                  <c:v>4.4000000000000004</c:v>
                </c:pt>
                <c:pt idx="5">
                  <c:v>5.5000000000000009</c:v>
                </c:pt>
                <c:pt idx="6">
                  <c:v>6.6</c:v>
                </c:pt>
                <c:pt idx="7">
                  <c:v>7.7000000000000011</c:v>
                </c:pt>
                <c:pt idx="8">
                  <c:v>8.8000000000000007</c:v>
                </c:pt>
                <c:pt idx="9">
                  <c:v>9.8999999999999986</c:v>
                </c:pt>
                <c:pt idx="10">
                  <c:v>11.000000000000002</c:v>
                </c:pt>
                <c:pt idx="11">
                  <c:v>12.1</c:v>
                </c:pt>
                <c:pt idx="12">
                  <c:v>13.2</c:v>
                </c:pt>
                <c:pt idx="13">
                  <c:v>14.3</c:v>
                </c:pt>
                <c:pt idx="14">
                  <c:v>15.400000000000002</c:v>
                </c:pt>
                <c:pt idx="15">
                  <c:v>16.5</c:v>
                </c:pt>
                <c:pt idx="16">
                  <c:v>17.600000000000001</c:v>
                </c:pt>
                <c:pt idx="17">
                  <c:v>18.700000000000003</c:v>
                </c:pt>
                <c:pt idx="18">
                  <c:v>19.799999999999997</c:v>
                </c:pt>
                <c:pt idx="19">
                  <c:v>20.900000000000002</c:v>
                </c:pt>
                <c:pt idx="20">
                  <c:v>22.000000000000004</c:v>
                </c:pt>
                <c:pt idx="21">
                  <c:v>23.099999999999998</c:v>
                </c:pt>
                <c:pt idx="22">
                  <c:v>24.2</c:v>
                </c:pt>
                <c:pt idx="23">
                  <c:v>25.3</c:v>
                </c:pt>
                <c:pt idx="24">
                  <c:v>26.4</c:v>
                </c:pt>
                <c:pt idx="25">
                  <c:v>27.5</c:v>
                </c:pt>
                <c:pt idx="26">
                  <c:v>28.6</c:v>
                </c:pt>
                <c:pt idx="27">
                  <c:v>29.7</c:v>
                </c:pt>
                <c:pt idx="28">
                  <c:v>30.800000000000004</c:v>
                </c:pt>
                <c:pt idx="29">
                  <c:v>31.9</c:v>
                </c:pt>
                <c:pt idx="30">
                  <c:v>33</c:v>
                </c:pt>
                <c:pt idx="31">
                  <c:v>34.1</c:v>
                </c:pt>
                <c:pt idx="32">
                  <c:v>35.200000000000003</c:v>
                </c:pt>
                <c:pt idx="33">
                  <c:v>36.299999999999997</c:v>
                </c:pt>
                <c:pt idx="34">
                  <c:v>37.400000000000006</c:v>
                </c:pt>
                <c:pt idx="35">
                  <c:v>38.5</c:v>
                </c:pt>
                <c:pt idx="36">
                  <c:v>39.599999999999994</c:v>
                </c:pt>
                <c:pt idx="37">
                  <c:v>40.700000000000003</c:v>
                </c:pt>
                <c:pt idx="38">
                  <c:v>41.800000000000004</c:v>
                </c:pt>
                <c:pt idx="39">
                  <c:v>42.9</c:v>
                </c:pt>
                <c:pt idx="40">
                  <c:v>44.000000000000007</c:v>
                </c:pt>
                <c:pt idx="41">
                  <c:v>45.099999999999994</c:v>
                </c:pt>
                <c:pt idx="42">
                  <c:v>46.199999999999996</c:v>
                </c:pt>
                <c:pt idx="43">
                  <c:v>47.300000000000004</c:v>
                </c:pt>
                <c:pt idx="44">
                  <c:v>48.4</c:v>
                </c:pt>
                <c:pt idx="45">
                  <c:v>49.5</c:v>
                </c:pt>
                <c:pt idx="46">
                  <c:v>50.6</c:v>
                </c:pt>
                <c:pt idx="47">
                  <c:v>51.699999999999996</c:v>
                </c:pt>
                <c:pt idx="48">
                  <c:v>52.8</c:v>
                </c:pt>
                <c:pt idx="49">
                  <c:v>53.9</c:v>
                </c:pt>
                <c:pt idx="50">
                  <c:v>55</c:v>
                </c:pt>
                <c:pt idx="51">
                  <c:v>56.1</c:v>
                </c:pt>
                <c:pt idx="52">
                  <c:v>57.2</c:v>
                </c:pt>
                <c:pt idx="53">
                  <c:v>58.300000000000004</c:v>
                </c:pt>
                <c:pt idx="54">
                  <c:v>59.4</c:v>
                </c:pt>
                <c:pt idx="55">
                  <c:v>60.500000000000007</c:v>
                </c:pt>
                <c:pt idx="56">
                  <c:v>61.600000000000009</c:v>
                </c:pt>
                <c:pt idx="57">
                  <c:v>62.699999999999989</c:v>
                </c:pt>
                <c:pt idx="58">
                  <c:v>63.8</c:v>
                </c:pt>
                <c:pt idx="59">
                  <c:v>64.900000000000006</c:v>
                </c:pt>
                <c:pt idx="60">
                  <c:v>66</c:v>
                </c:pt>
                <c:pt idx="61">
                  <c:v>67.099999999999994</c:v>
                </c:pt>
                <c:pt idx="62">
                  <c:v>68.2</c:v>
                </c:pt>
                <c:pt idx="63">
                  <c:v>69.3</c:v>
                </c:pt>
                <c:pt idx="64">
                  <c:v>70.400000000000006</c:v>
                </c:pt>
                <c:pt idx="65">
                  <c:v>71.500000000000014</c:v>
                </c:pt>
                <c:pt idx="66">
                  <c:v>72.599999999999994</c:v>
                </c:pt>
                <c:pt idx="67">
                  <c:v>73.7</c:v>
                </c:pt>
                <c:pt idx="68">
                  <c:v>74.800000000000011</c:v>
                </c:pt>
                <c:pt idx="69">
                  <c:v>75.899999999999991</c:v>
                </c:pt>
                <c:pt idx="70">
                  <c:v>77</c:v>
                </c:pt>
                <c:pt idx="71">
                  <c:v>78.100000000000009</c:v>
                </c:pt>
                <c:pt idx="72">
                  <c:v>79.199999999999989</c:v>
                </c:pt>
                <c:pt idx="73">
                  <c:v>80.3</c:v>
                </c:pt>
                <c:pt idx="74">
                  <c:v>81.400000000000006</c:v>
                </c:pt>
                <c:pt idx="75">
                  <c:v>82.5</c:v>
                </c:pt>
                <c:pt idx="76">
                  <c:v>83.600000000000009</c:v>
                </c:pt>
                <c:pt idx="77">
                  <c:v>84.7</c:v>
                </c:pt>
                <c:pt idx="78">
                  <c:v>85.8</c:v>
                </c:pt>
                <c:pt idx="79">
                  <c:v>86.9</c:v>
                </c:pt>
                <c:pt idx="80">
                  <c:v>88.000000000000014</c:v>
                </c:pt>
                <c:pt idx="81">
                  <c:v>89.100000000000009</c:v>
                </c:pt>
                <c:pt idx="82">
                  <c:v>90.199999999999989</c:v>
                </c:pt>
                <c:pt idx="83">
                  <c:v>91.3</c:v>
                </c:pt>
                <c:pt idx="84">
                  <c:v>92.399999999999991</c:v>
                </c:pt>
                <c:pt idx="85">
                  <c:v>93.5</c:v>
                </c:pt>
                <c:pt idx="86">
                  <c:v>94.600000000000009</c:v>
                </c:pt>
                <c:pt idx="87">
                  <c:v>95.699999999999989</c:v>
                </c:pt>
                <c:pt idx="88">
                  <c:v>96.8</c:v>
                </c:pt>
                <c:pt idx="89">
                  <c:v>97.9</c:v>
                </c:pt>
                <c:pt idx="90">
                  <c:v>99</c:v>
                </c:pt>
                <c:pt idx="91">
                  <c:v>100.10000000000001</c:v>
                </c:pt>
                <c:pt idx="92">
                  <c:v>101.2</c:v>
                </c:pt>
                <c:pt idx="93">
                  <c:v>102.3</c:v>
                </c:pt>
                <c:pt idx="94">
                  <c:v>103.39999999999999</c:v>
                </c:pt>
                <c:pt idx="95">
                  <c:v>104.5</c:v>
                </c:pt>
                <c:pt idx="96">
                  <c:v>105.6</c:v>
                </c:pt>
                <c:pt idx="97">
                  <c:v>106.7</c:v>
                </c:pt>
                <c:pt idx="98">
                  <c:v>107.8</c:v>
                </c:pt>
                <c:pt idx="99">
                  <c:v>108.89999999999999</c:v>
                </c:pt>
                <c:pt idx="100">
                  <c:v>110</c:v>
                </c:pt>
              </c:numCache>
            </c:numRef>
          </c:cat>
          <c:val>
            <c:numRef>
              <c:f>'Calculations - Single'!$AN$5:$AN$105</c:f>
              <c:numCache>
                <c:formatCode>0.0</c:formatCode>
                <c:ptCount val="101"/>
                <c:pt idx="0">
                  <c:v>10</c:v>
                </c:pt>
                <c:pt idx="1">
                  <c:v>13.497103245882565</c:v>
                </c:pt>
                <c:pt idx="2">
                  <c:v>26.99420649176513</c:v>
                </c:pt>
                <c:pt idx="3">
                  <c:v>40.491309737647697</c:v>
                </c:pt>
                <c:pt idx="4">
                  <c:v>53.98841298353026</c:v>
                </c:pt>
                <c:pt idx="5">
                  <c:v>67.485516229412823</c:v>
                </c:pt>
                <c:pt idx="6">
                  <c:v>80.982619475295394</c:v>
                </c:pt>
                <c:pt idx="7">
                  <c:v>94.479722721177964</c:v>
                </c:pt>
                <c:pt idx="8">
                  <c:v>107.97682596706052</c:v>
                </c:pt>
                <c:pt idx="9">
                  <c:v>121.47392921294306</c:v>
                </c:pt>
                <c:pt idx="10">
                  <c:v>134.97103245882565</c:v>
                </c:pt>
                <c:pt idx="11">
                  <c:v>148.4681357047082</c:v>
                </c:pt>
                <c:pt idx="12">
                  <c:v>161.96523895059079</c:v>
                </c:pt>
                <c:pt idx="13">
                  <c:v>175.46234219647332</c:v>
                </c:pt>
                <c:pt idx="14">
                  <c:v>188.95944544235593</c:v>
                </c:pt>
                <c:pt idx="15">
                  <c:v>202.45654868823846</c:v>
                </c:pt>
                <c:pt idx="16">
                  <c:v>215.95365193412104</c:v>
                </c:pt>
                <c:pt idx="17">
                  <c:v>229.45075518000363</c:v>
                </c:pt>
                <c:pt idx="18">
                  <c:v>242.94785842588612</c:v>
                </c:pt>
                <c:pt idx="19">
                  <c:v>256.44496167176874</c:v>
                </c:pt>
                <c:pt idx="20">
                  <c:v>269.94206491765129</c:v>
                </c:pt>
                <c:pt idx="21">
                  <c:v>283.43916816353385</c:v>
                </c:pt>
                <c:pt idx="22">
                  <c:v>296.93627140941641</c:v>
                </c:pt>
                <c:pt idx="23">
                  <c:v>310.43337465529896</c:v>
                </c:pt>
                <c:pt idx="24">
                  <c:v>323.93047790118158</c:v>
                </c:pt>
                <c:pt idx="25">
                  <c:v>337.42758114706413</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347.45889347682305</c:v>
                </c:pt>
                <c:pt idx="72">
                  <c:v>342.63307551186728</c:v>
                </c:pt>
                <c:pt idx="73">
                  <c:v>337.93947173773205</c:v>
                </c:pt>
                <c:pt idx="74">
                  <c:v>333.3727221196545</c:v>
                </c:pt>
                <c:pt idx="75">
                  <c:v>328.92775249139254</c:v>
                </c:pt>
                <c:pt idx="76">
                  <c:v>324.5997557480847</c:v>
                </c:pt>
                <c:pt idx="77">
                  <c:v>320.3841745046031</c:v>
                </c:pt>
                <c:pt idx="78">
                  <c:v>316.27668508787735</c:v>
                </c:pt>
                <c:pt idx="79">
                  <c:v>312.27318274499282</c:v>
                </c:pt>
                <c:pt idx="80">
                  <c:v>308.36976796068052</c:v>
                </c:pt>
                <c:pt idx="81">
                  <c:v>304.56273378832634</c:v>
                </c:pt>
                <c:pt idx="82">
                  <c:v>300.84855410798104</c:v>
                </c:pt>
                <c:pt idx="83">
                  <c:v>297.22387273318606</c:v>
                </c:pt>
                <c:pt idx="84">
                  <c:v>293.68549329588615</c:v>
                </c:pt>
                <c:pt idx="85">
                  <c:v>290.23036984534633</c:v>
                </c:pt>
                <c:pt idx="86">
                  <c:v>286.85559810295871</c:v>
                </c:pt>
                <c:pt idx="87">
                  <c:v>283.558407320166</c:v>
                </c:pt>
                <c:pt idx="88">
                  <c:v>280.33615269152773</c:v>
                </c:pt>
                <c:pt idx="89">
                  <c:v>277.1863082792633</c:v>
                </c:pt>
                <c:pt idx="90">
                  <c:v>274.10646040949371</c:v>
                </c:pt>
                <c:pt idx="91">
                  <c:v>271.09430150389488</c:v>
                </c:pt>
                <c:pt idx="92">
                  <c:v>268.14762431363522</c:v>
                </c:pt>
                <c:pt idx="93">
                  <c:v>265.26431652531659</c:v>
                </c:pt>
                <c:pt idx="94">
                  <c:v>262.44235571121743</c:v>
                </c:pt>
                <c:pt idx="95">
                  <c:v>259.6798045984678</c:v>
                </c:pt>
                <c:pt idx="96">
                  <c:v>256.97480663390036</c:v>
                </c:pt>
                <c:pt idx="97">
                  <c:v>254.32558182324161</c:v>
                </c:pt>
                <c:pt idx="98">
                  <c:v>251.73042282504531</c:v>
                </c:pt>
                <c:pt idx="99">
                  <c:v>249.18769128135801</c:v>
                </c:pt>
                <c:pt idx="100">
                  <c:v>246.6958143685444</c:v>
                </c:pt>
              </c:numCache>
            </c:numRef>
          </c:val>
          <c:smooth val="0"/>
        </c:ser>
        <c:ser>
          <c:idx val="2"/>
          <c:order val="2"/>
          <c:tx>
            <c:v>VIN-max</c:v>
          </c:tx>
          <c:spPr>
            <a:ln w="19050">
              <a:solidFill>
                <a:srgbClr val="0000FF"/>
              </a:solidFill>
              <a:prstDash val="lgDash"/>
            </a:ln>
          </c:spPr>
          <c:marker>
            <c:symbol val="none"/>
          </c:marker>
          <c:cat>
            <c:numRef>
              <c:f>'Calculations - Single'!$AM$5:$AM$105</c:f>
              <c:numCache>
                <c:formatCode>0</c:formatCode>
                <c:ptCount val="101"/>
                <c:pt idx="0">
                  <c:v>1.0000000000000002E-6</c:v>
                </c:pt>
                <c:pt idx="1">
                  <c:v>1.1000000000000001</c:v>
                </c:pt>
                <c:pt idx="2">
                  <c:v>2.2000000000000002</c:v>
                </c:pt>
                <c:pt idx="3">
                  <c:v>3.3</c:v>
                </c:pt>
                <c:pt idx="4">
                  <c:v>4.4000000000000004</c:v>
                </c:pt>
                <c:pt idx="5">
                  <c:v>5.5000000000000009</c:v>
                </c:pt>
                <c:pt idx="6">
                  <c:v>6.6</c:v>
                </c:pt>
                <c:pt idx="7">
                  <c:v>7.7000000000000011</c:v>
                </c:pt>
                <c:pt idx="8">
                  <c:v>8.8000000000000007</c:v>
                </c:pt>
                <c:pt idx="9">
                  <c:v>9.8999999999999986</c:v>
                </c:pt>
                <c:pt idx="10">
                  <c:v>11.000000000000002</c:v>
                </c:pt>
                <c:pt idx="11">
                  <c:v>12.1</c:v>
                </c:pt>
                <c:pt idx="12">
                  <c:v>13.2</c:v>
                </c:pt>
                <c:pt idx="13">
                  <c:v>14.3</c:v>
                </c:pt>
                <c:pt idx="14">
                  <c:v>15.400000000000002</c:v>
                </c:pt>
                <c:pt idx="15">
                  <c:v>16.5</c:v>
                </c:pt>
                <c:pt idx="16">
                  <c:v>17.600000000000001</c:v>
                </c:pt>
                <c:pt idx="17">
                  <c:v>18.700000000000003</c:v>
                </c:pt>
                <c:pt idx="18">
                  <c:v>19.799999999999997</c:v>
                </c:pt>
                <c:pt idx="19">
                  <c:v>20.900000000000002</c:v>
                </c:pt>
                <c:pt idx="20">
                  <c:v>22.000000000000004</c:v>
                </c:pt>
                <c:pt idx="21">
                  <c:v>23.099999999999998</c:v>
                </c:pt>
                <c:pt idx="22">
                  <c:v>24.2</c:v>
                </c:pt>
                <c:pt idx="23">
                  <c:v>25.3</c:v>
                </c:pt>
                <c:pt idx="24">
                  <c:v>26.4</c:v>
                </c:pt>
                <c:pt idx="25">
                  <c:v>27.5</c:v>
                </c:pt>
                <c:pt idx="26">
                  <c:v>28.6</c:v>
                </c:pt>
                <c:pt idx="27">
                  <c:v>29.7</c:v>
                </c:pt>
                <c:pt idx="28">
                  <c:v>30.800000000000004</c:v>
                </c:pt>
                <c:pt idx="29">
                  <c:v>31.9</c:v>
                </c:pt>
                <c:pt idx="30">
                  <c:v>33</c:v>
                </c:pt>
                <c:pt idx="31">
                  <c:v>34.1</c:v>
                </c:pt>
                <c:pt idx="32">
                  <c:v>35.200000000000003</c:v>
                </c:pt>
                <c:pt idx="33">
                  <c:v>36.299999999999997</c:v>
                </c:pt>
                <c:pt idx="34">
                  <c:v>37.400000000000006</c:v>
                </c:pt>
                <c:pt idx="35">
                  <c:v>38.5</c:v>
                </c:pt>
                <c:pt idx="36">
                  <c:v>39.599999999999994</c:v>
                </c:pt>
                <c:pt idx="37">
                  <c:v>40.700000000000003</c:v>
                </c:pt>
                <c:pt idx="38">
                  <c:v>41.800000000000004</c:v>
                </c:pt>
                <c:pt idx="39">
                  <c:v>42.9</c:v>
                </c:pt>
                <c:pt idx="40">
                  <c:v>44.000000000000007</c:v>
                </c:pt>
                <c:pt idx="41">
                  <c:v>45.099999999999994</c:v>
                </c:pt>
                <c:pt idx="42">
                  <c:v>46.199999999999996</c:v>
                </c:pt>
                <c:pt idx="43">
                  <c:v>47.300000000000004</c:v>
                </c:pt>
                <c:pt idx="44">
                  <c:v>48.4</c:v>
                </c:pt>
                <c:pt idx="45">
                  <c:v>49.5</c:v>
                </c:pt>
                <c:pt idx="46">
                  <c:v>50.6</c:v>
                </c:pt>
                <c:pt idx="47">
                  <c:v>51.699999999999996</c:v>
                </c:pt>
                <c:pt idx="48">
                  <c:v>52.8</c:v>
                </c:pt>
                <c:pt idx="49">
                  <c:v>53.9</c:v>
                </c:pt>
                <c:pt idx="50">
                  <c:v>55</c:v>
                </c:pt>
                <c:pt idx="51">
                  <c:v>56.1</c:v>
                </c:pt>
                <c:pt idx="52">
                  <c:v>57.2</c:v>
                </c:pt>
                <c:pt idx="53">
                  <c:v>58.300000000000004</c:v>
                </c:pt>
                <c:pt idx="54">
                  <c:v>59.4</c:v>
                </c:pt>
                <c:pt idx="55">
                  <c:v>60.500000000000007</c:v>
                </c:pt>
                <c:pt idx="56">
                  <c:v>61.600000000000009</c:v>
                </c:pt>
                <c:pt idx="57">
                  <c:v>62.699999999999989</c:v>
                </c:pt>
                <c:pt idx="58">
                  <c:v>63.8</c:v>
                </c:pt>
                <c:pt idx="59">
                  <c:v>64.900000000000006</c:v>
                </c:pt>
                <c:pt idx="60">
                  <c:v>66</c:v>
                </c:pt>
                <c:pt idx="61">
                  <c:v>67.099999999999994</c:v>
                </c:pt>
                <c:pt idx="62">
                  <c:v>68.2</c:v>
                </c:pt>
                <c:pt idx="63">
                  <c:v>69.3</c:v>
                </c:pt>
                <c:pt idx="64">
                  <c:v>70.400000000000006</c:v>
                </c:pt>
                <c:pt idx="65">
                  <c:v>71.500000000000014</c:v>
                </c:pt>
                <c:pt idx="66">
                  <c:v>72.599999999999994</c:v>
                </c:pt>
                <c:pt idx="67">
                  <c:v>73.7</c:v>
                </c:pt>
                <c:pt idx="68">
                  <c:v>74.800000000000011</c:v>
                </c:pt>
                <c:pt idx="69">
                  <c:v>75.899999999999991</c:v>
                </c:pt>
                <c:pt idx="70">
                  <c:v>77</c:v>
                </c:pt>
                <c:pt idx="71">
                  <c:v>78.100000000000009</c:v>
                </c:pt>
                <c:pt idx="72">
                  <c:v>79.199999999999989</c:v>
                </c:pt>
                <c:pt idx="73">
                  <c:v>80.3</c:v>
                </c:pt>
                <c:pt idx="74">
                  <c:v>81.400000000000006</c:v>
                </c:pt>
                <c:pt idx="75">
                  <c:v>82.5</c:v>
                </c:pt>
                <c:pt idx="76">
                  <c:v>83.600000000000009</c:v>
                </c:pt>
                <c:pt idx="77">
                  <c:v>84.7</c:v>
                </c:pt>
                <c:pt idx="78">
                  <c:v>85.8</c:v>
                </c:pt>
                <c:pt idx="79">
                  <c:v>86.9</c:v>
                </c:pt>
                <c:pt idx="80">
                  <c:v>88.000000000000014</c:v>
                </c:pt>
                <c:pt idx="81">
                  <c:v>89.100000000000009</c:v>
                </c:pt>
                <c:pt idx="82">
                  <c:v>90.199999999999989</c:v>
                </c:pt>
                <c:pt idx="83">
                  <c:v>91.3</c:v>
                </c:pt>
                <c:pt idx="84">
                  <c:v>92.399999999999991</c:v>
                </c:pt>
                <c:pt idx="85">
                  <c:v>93.5</c:v>
                </c:pt>
                <c:pt idx="86">
                  <c:v>94.600000000000009</c:v>
                </c:pt>
                <c:pt idx="87">
                  <c:v>95.699999999999989</c:v>
                </c:pt>
                <c:pt idx="88">
                  <c:v>96.8</c:v>
                </c:pt>
                <c:pt idx="89">
                  <c:v>97.9</c:v>
                </c:pt>
                <c:pt idx="90">
                  <c:v>99</c:v>
                </c:pt>
                <c:pt idx="91">
                  <c:v>100.10000000000001</c:v>
                </c:pt>
                <c:pt idx="92">
                  <c:v>101.2</c:v>
                </c:pt>
                <c:pt idx="93">
                  <c:v>102.3</c:v>
                </c:pt>
                <c:pt idx="94">
                  <c:v>103.39999999999999</c:v>
                </c:pt>
                <c:pt idx="95">
                  <c:v>104.5</c:v>
                </c:pt>
                <c:pt idx="96">
                  <c:v>105.6</c:v>
                </c:pt>
                <c:pt idx="97">
                  <c:v>106.7</c:v>
                </c:pt>
                <c:pt idx="98">
                  <c:v>107.8</c:v>
                </c:pt>
                <c:pt idx="99">
                  <c:v>108.89999999999999</c:v>
                </c:pt>
                <c:pt idx="100">
                  <c:v>110</c:v>
                </c:pt>
              </c:numCache>
            </c:numRef>
          </c:cat>
          <c:val>
            <c:numRef>
              <c:f>'Calculations - Single'!$AN$216:$AN$316</c:f>
              <c:numCache>
                <c:formatCode>0.0</c:formatCode>
                <c:ptCount val="101"/>
                <c:pt idx="0">
                  <c:v>10</c:v>
                </c:pt>
                <c:pt idx="1">
                  <c:v>13.497103245882565</c:v>
                </c:pt>
                <c:pt idx="2">
                  <c:v>26.99420649176513</c:v>
                </c:pt>
                <c:pt idx="3">
                  <c:v>40.491309737647697</c:v>
                </c:pt>
                <c:pt idx="4">
                  <c:v>53.98841298353026</c:v>
                </c:pt>
                <c:pt idx="5">
                  <c:v>67.485516229412823</c:v>
                </c:pt>
                <c:pt idx="6">
                  <c:v>80.982619475295394</c:v>
                </c:pt>
                <c:pt idx="7">
                  <c:v>94.479722721177964</c:v>
                </c:pt>
                <c:pt idx="8">
                  <c:v>107.97682596706052</c:v>
                </c:pt>
                <c:pt idx="9">
                  <c:v>121.47392921294306</c:v>
                </c:pt>
                <c:pt idx="10">
                  <c:v>134.97103245882565</c:v>
                </c:pt>
                <c:pt idx="11">
                  <c:v>148.4681357047082</c:v>
                </c:pt>
                <c:pt idx="12">
                  <c:v>161.96523895059079</c:v>
                </c:pt>
                <c:pt idx="13">
                  <c:v>175.46234219647332</c:v>
                </c:pt>
                <c:pt idx="14">
                  <c:v>188.95944544235593</c:v>
                </c:pt>
                <c:pt idx="15">
                  <c:v>202.45654868823846</c:v>
                </c:pt>
                <c:pt idx="16">
                  <c:v>215.95365193412104</c:v>
                </c:pt>
                <c:pt idx="17">
                  <c:v>229.45075518000363</c:v>
                </c:pt>
                <c:pt idx="18">
                  <c:v>242.94785842588612</c:v>
                </c:pt>
                <c:pt idx="19">
                  <c:v>256.44496167176874</c:v>
                </c:pt>
                <c:pt idx="20">
                  <c:v>269.94206491765129</c:v>
                </c:pt>
                <c:pt idx="21">
                  <c:v>283.43916816353385</c:v>
                </c:pt>
                <c:pt idx="22">
                  <c:v>296.93627140941641</c:v>
                </c:pt>
                <c:pt idx="23">
                  <c:v>310.43337465529896</c:v>
                </c:pt>
                <c:pt idx="24">
                  <c:v>323.93047790118158</c:v>
                </c:pt>
                <c:pt idx="25">
                  <c:v>337.42758114706413</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349.77652039816189</c:v>
                </c:pt>
                <c:pt idx="95">
                  <c:v>346.09466228870758</c:v>
                </c:pt>
                <c:pt idx="96">
                  <c:v>342.48950955653356</c:v>
                </c:pt>
                <c:pt idx="97">
                  <c:v>338.95868987038364</c:v>
                </c:pt>
                <c:pt idx="98">
                  <c:v>335.49992772884912</c:v>
                </c:pt>
                <c:pt idx="99">
                  <c:v>332.11103956997181</c:v>
                </c:pt>
                <c:pt idx="100">
                  <c:v>328.78992917427212</c:v>
                </c:pt>
              </c:numCache>
            </c:numRef>
          </c:val>
          <c:smooth val="0"/>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1.1000000000000001</c:v>
                </c:pt>
                <c:pt idx="2">
                  <c:v>2.2000000000000002</c:v>
                </c:pt>
                <c:pt idx="3">
                  <c:v>3.3</c:v>
                </c:pt>
                <c:pt idx="4">
                  <c:v>4.4000000000000004</c:v>
                </c:pt>
                <c:pt idx="5">
                  <c:v>5.5000000000000009</c:v>
                </c:pt>
                <c:pt idx="6">
                  <c:v>6.6</c:v>
                </c:pt>
                <c:pt idx="7">
                  <c:v>7.7000000000000011</c:v>
                </c:pt>
                <c:pt idx="8">
                  <c:v>8.8000000000000007</c:v>
                </c:pt>
                <c:pt idx="9">
                  <c:v>9.8999999999999986</c:v>
                </c:pt>
                <c:pt idx="10">
                  <c:v>11.000000000000002</c:v>
                </c:pt>
                <c:pt idx="11">
                  <c:v>12.1</c:v>
                </c:pt>
                <c:pt idx="12">
                  <c:v>13.2</c:v>
                </c:pt>
                <c:pt idx="13">
                  <c:v>14.3</c:v>
                </c:pt>
                <c:pt idx="14">
                  <c:v>15.400000000000002</c:v>
                </c:pt>
                <c:pt idx="15">
                  <c:v>16.5</c:v>
                </c:pt>
                <c:pt idx="16">
                  <c:v>17.600000000000001</c:v>
                </c:pt>
                <c:pt idx="17">
                  <c:v>18.700000000000003</c:v>
                </c:pt>
                <c:pt idx="18">
                  <c:v>19.799999999999997</c:v>
                </c:pt>
                <c:pt idx="19">
                  <c:v>20.900000000000002</c:v>
                </c:pt>
                <c:pt idx="20">
                  <c:v>22.000000000000004</c:v>
                </c:pt>
                <c:pt idx="21">
                  <c:v>23.099999999999998</c:v>
                </c:pt>
                <c:pt idx="22">
                  <c:v>24.2</c:v>
                </c:pt>
                <c:pt idx="23">
                  <c:v>25.3</c:v>
                </c:pt>
                <c:pt idx="24">
                  <c:v>26.4</c:v>
                </c:pt>
                <c:pt idx="25">
                  <c:v>27.5</c:v>
                </c:pt>
                <c:pt idx="26">
                  <c:v>28.6</c:v>
                </c:pt>
                <c:pt idx="27">
                  <c:v>29.7</c:v>
                </c:pt>
                <c:pt idx="28">
                  <c:v>30.800000000000004</c:v>
                </c:pt>
                <c:pt idx="29">
                  <c:v>31.9</c:v>
                </c:pt>
                <c:pt idx="30">
                  <c:v>33</c:v>
                </c:pt>
                <c:pt idx="31">
                  <c:v>34.1</c:v>
                </c:pt>
                <c:pt idx="32">
                  <c:v>35.200000000000003</c:v>
                </c:pt>
                <c:pt idx="33">
                  <c:v>36.299999999999997</c:v>
                </c:pt>
                <c:pt idx="34">
                  <c:v>37.400000000000006</c:v>
                </c:pt>
                <c:pt idx="35">
                  <c:v>38.5</c:v>
                </c:pt>
                <c:pt idx="36">
                  <c:v>39.599999999999994</c:v>
                </c:pt>
                <c:pt idx="37">
                  <c:v>40.700000000000003</c:v>
                </c:pt>
                <c:pt idx="38">
                  <c:v>41.800000000000004</c:v>
                </c:pt>
                <c:pt idx="39">
                  <c:v>42.9</c:v>
                </c:pt>
                <c:pt idx="40">
                  <c:v>44.000000000000007</c:v>
                </c:pt>
                <c:pt idx="41">
                  <c:v>45.099999999999994</c:v>
                </c:pt>
                <c:pt idx="42">
                  <c:v>46.199999999999996</c:v>
                </c:pt>
                <c:pt idx="43">
                  <c:v>47.300000000000004</c:v>
                </c:pt>
                <c:pt idx="44">
                  <c:v>48.4</c:v>
                </c:pt>
                <c:pt idx="45">
                  <c:v>49.5</c:v>
                </c:pt>
                <c:pt idx="46">
                  <c:v>50.6</c:v>
                </c:pt>
                <c:pt idx="47">
                  <c:v>51.699999999999996</c:v>
                </c:pt>
                <c:pt idx="48">
                  <c:v>52.8</c:v>
                </c:pt>
                <c:pt idx="49">
                  <c:v>53.9</c:v>
                </c:pt>
                <c:pt idx="50">
                  <c:v>55</c:v>
                </c:pt>
                <c:pt idx="51">
                  <c:v>56.1</c:v>
                </c:pt>
                <c:pt idx="52">
                  <c:v>57.2</c:v>
                </c:pt>
                <c:pt idx="53">
                  <c:v>58.300000000000004</c:v>
                </c:pt>
                <c:pt idx="54">
                  <c:v>59.4</c:v>
                </c:pt>
                <c:pt idx="55">
                  <c:v>60.500000000000007</c:v>
                </c:pt>
                <c:pt idx="56">
                  <c:v>61.600000000000009</c:v>
                </c:pt>
                <c:pt idx="57">
                  <c:v>62.699999999999989</c:v>
                </c:pt>
                <c:pt idx="58">
                  <c:v>63.8</c:v>
                </c:pt>
                <c:pt idx="59">
                  <c:v>64.900000000000006</c:v>
                </c:pt>
                <c:pt idx="60">
                  <c:v>66</c:v>
                </c:pt>
                <c:pt idx="61">
                  <c:v>67.099999999999994</c:v>
                </c:pt>
                <c:pt idx="62">
                  <c:v>68.2</c:v>
                </c:pt>
                <c:pt idx="63">
                  <c:v>69.3</c:v>
                </c:pt>
                <c:pt idx="64">
                  <c:v>70.400000000000006</c:v>
                </c:pt>
                <c:pt idx="65">
                  <c:v>71.500000000000014</c:v>
                </c:pt>
                <c:pt idx="66">
                  <c:v>72.599999999999994</c:v>
                </c:pt>
                <c:pt idx="67">
                  <c:v>73.7</c:v>
                </c:pt>
                <c:pt idx="68">
                  <c:v>74.800000000000011</c:v>
                </c:pt>
                <c:pt idx="69">
                  <c:v>75.899999999999991</c:v>
                </c:pt>
                <c:pt idx="70">
                  <c:v>77</c:v>
                </c:pt>
                <c:pt idx="71">
                  <c:v>78.100000000000009</c:v>
                </c:pt>
                <c:pt idx="72">
                  <c:v>79.199999999999989</c:v>
                </c:pt>
                <c:pt idx="73">
                  <c:v>80.3</c:v>
                </c:pt>
                <c:pt idx="74">
                  <c:v>81.400000000000006</c:v>
                </c:pt>
                <c:pt idx="75">
                  <c:v>82.5</c:v>
                </c:pt>
                <c:pt idx="76">
                  <c:v>83.600000000000009</c:v>
                </c:pt>
                <c:pt idx="77">
                  <c:v>84.7</c:v>
                </c:pt>
                <c:pt idx="78">
                  <c:v>85.8</c:v>
                </c:pt>
                <c:pt idx="79">
                  <c:v>86.9</c:v>
                </c:pt>
                <c:pt idx="80">
                  <c:v>88.000000000000014</c:v>
                </c:pt>
                <c:pt idx="81">
                  <c:v>89.100000000000009</c:v>
                </c:pt>
                <c:pt idx="82">
                  <c:v>90.199999999999989</c:v>
                </c:pt>
                <c:pt idx="83">
                  <c:v>91.3</c:v>
                </c:pt>
                <c:pt idx="84">
                  <c:v>92.399999999999991</c:v>
                </c:pt>
                <c:pt idx="85">
                  <c:v>93.5</c:v>
                </c:pt>
                <c:pt idx="86">
                  <c:v>94.600000000000009</c:v>
                </c:pt>
                <c:pt idx="87">
                  <c:v>95.699999999999989</c:v>
                </c:pt>
                <c:pt idx="88">
                  <c:v>96.8</c:v>
                </c:pt>
                <c:pt idx="89">
                  <c:v>97.9</c:v>
                </c:pt>
                <c:pt idx="90">
                  <c:v>99</c:v>
                </c:pt>
                <c:pt idx="91">
                  <c:v>100.10000000000001</c:v>
                </c:pt>
                <c:pt idx="92">
                  <c:v>101.2</c:v>
                </c:pt>
                <c:pt idx="93">
                  <c:v>102.3</c:v>
                </c:pt>
                <c:pt idx="94">
                  <c:v>103.39999999999999</c:v>
                </c:pt>
                <c:pt idx="95">
                  <c:v>104.5</c:v>
                </c:pt>
                <c:pt idx="96">
                  <c:v>105.6</c:v>
                </c:pt>
                <c:pt idx="97">
                  <c:v>106.7</c:v>
                </c:pt>
                <c:pt idx="98">
                  <c:v>107.8</c:v>
                </c:pt>
                <c:pt idx="99">
                  <c:v>108.89999999999999</c:v>
                </c:pt>
                <c:pt idx="100">
                  <c:v>110</c:v>
                </c:pt>
              </c:numCache>
            </c:numRef>
          </c:cat>
          <c:val>
            <c:numRef>
              <c:f>'Calculations - Single'!$CD$110:$CD$210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1.1000000000000001</c:v>
                </c:pt>
                <c:pt idx="2">
                  <c:v>2.2000000000000002</c:v>
                </c:pt>
                <c:pt idx="3">
                  <c:v>3.3</c:v>
                </c:pt>
                <c:pt idx="4">
                  <c:v>4.4000000000000004</c:v>
                </c:pt>
                <c:pt idx="5">
                  <c:v>5.5000000000000009</c:v>
                </c:pt>
                <c:pt idx="6">
                  <c:v>6.6</c:v>
                </c:pt>
                <c:pt idx="7">
                  <c:v>7.7000000000000011</c:v>
                </c:pt>
                <c:pt idx="8">
                  <c:v>8.8000000000000007</c:v>
                </c:pt>
                <c:pt idx="9">
                  <c:v>9.8999999999999986</c:v>
                </c:pt>
                <c:pt idx="10">
                  <c:v>11.000000000000002</c:v>
                </c:pt>
                <c:pt idx="11">
                  <c:v>12.1</c:v>
                </c:pt>
                <c:pt idx="12">
                  <c:v>13.2</c:v>
                </c:pt>
                <c:pt idx="13">
                  <c:v>14.3</c:v>
                </c:pt>
                <c:pt idx="14">
                  <c:v>15.400000000000002</c:v>
                </c:pt>
                <c:pt idx="15">
                  <c:v>16.5</c:v>
                </c:pt>
                <c:pt idx="16">
                  <c:v>17.600000000000001</c:v>
                </c:pt>
                <c:pt idx="17">
                  <c:v>18.700000000000003</c:v>
                </c:pt>
                <c:pt idx="18">
                  <c:v>19.799999999999997</c:v>
                </c:pt>
                <c:pt idx="19">
                  <c:v>20.900000000000002</c:v>
                </c:pt>
                <c:pt idx="20">
                  <c:v>22.000000000000004</c:v>
                </c:pt>
                <c:pt idx="21">
                  <c:v>23.099999999999998</c:v>
                </c:pt>
                <c:pt idx="22">
                  <c:v>24.2</c:v>
                </c:pt>
                <c:pt idx="23">
                  <c:v>25.3</c:v>
                </c:pt>
                <c:pt idx="24">
                  <c:v>26.4</c:v>
                </c:pt>
                <c:pt idx="25">
                  <c:v>27.5</c:v>
                </c:pt>
                <c:pt idx="26">
                  <c:v>28.6</c:v>
                </c:pt>
                <c:pt idx="27">
                  <c:v>29.7</c:v>
                </c:pt>
                <c:pt idx="28">
                  <c:v>30.800000000000004</c:v>
                </c:pt>
                <c:pt idx="29">
                  <c:v>31.9</c:v>
                </c:pt>
                <c:pt idx="30">
                  <c:v>33</c:v>
                </c:pt>
                <c:pt idx="31">
                  <c:v>34.1</c:v>
                </c:pt>
                <c:pt idx="32">
                  <c:v>35.200000000000003</c:v>
                </c:pt>
                <c:pt idx="33">
                  <c:v>36.299999999999997</c:v>
                </c:pt>
                <c:pt idx="34">
                  <c:v>37.400000000000006</c:v>
                </c:pt>
                <c:pt idx="35">
                  <c:v>38.5</c:v>
                </c:pt>
                <c:pt idx="36">
                  <c:v>39.599999999999994</c:v>
                </c:pt>
                <c:pt idx="37">
                  <c:v>40.700000000000003</c:v>
                </c:pt>
                <c:pt idx="38">
                  <c:v>41.800000000000004</c:v>
                </c:pt>
                <c:pt idx="39">
                  <c:v>42.9</c:v>
                </c:pt>
                <c:pt idx="40">
                  <c:v>44.000000000000007</c:v>
                </c:pt>
                <c:pt idx="41">
                  <c:v>45.099999999999994</c:v>
                </c:pt>
                <c:pt idx="42">
                  <c:v>46.199999999999996</c:v>
                </c:pt>
                <c:pt idx="43">
                  <c:v>47.300000000000004</c:v>
                </c:pt>
                <c:pt idx="44">
                  <c:v>48.4</c:v>
                </c:pt>
                <c:pt idx="45">
                  <c:v>49.5</c:v>
                </c:pt>
                <c:pt idx="46">
                  <c:v>50.6</c:v>
                </c:pt>
                <c:pt idx="47">
                  <c:v>51.699999999999996</c:v>
                </c:pt>
                <c:pt idx="48">
                  <c:v>52.8</c:v>
                </c:pt>
                <c:pt idx="49">
                  <c:v>53.9</c:v>
                </c:pt>
                <c:pt idx="50">
                  <c:v>55</c:v>
                </c:pt>
                <c:pt idx="51">
                  <c:v>56.1</c:v>
                </c:pt>
                <c:pt idx="52">
                  <c:v>57.2</c:v>
                </c:pt>
                <c:pt idx="53">
                  <c:v>58.300000000000004</c:v>
                </c:pt>
                <c:pt idx="54">
                  <c:v>59.4</c:v>
                </c:pt>
                <c:pt idx="55">
                  <c:v>60.500000000000007</c:v>
                </c:pt>
                <c:pt idx="56">
                  <c:v>61.600000000000009</c:v>
                </c:pt>
                <c:pt idx="57">
                  <c:v>62.699999999999989</c:v>
                </c:pt>
                <c:pt idx="58">
                  <c:v>63.8</c:v>
                </c:pt>
                <c:pt idx="59">
                  <c:v>64.900000000000006</c:v>
                </c:pt>
                <c:pt idx="60">
                  <c:v>66</c:v>
                </c:pt>
                <c:pt idx="61">
                  <c:v>67.099999999999994</c:v>
                </c:pt>
                <c:pt idx="62">
                  <c:v>68.2</c:v>
                </c:pt>
                <c:pt idx="63">
                  <c:v>69.3</c:v>
                </c:pt>
                <c:pt idx="64">
                  <c:v>70.400000000000006</c:v>
                </c:pt>
                <c:pt idx="65">
                  <c:v>71.500000000000014</c:v>
                </c:pt>
                <c:pt idx="66">
                  <c:v>72.599999999999994</c:v>
                </c:pt>
                <c:pt idx="67">
                  <c:v>73.7</c:v>
                </c:pt>
                <c:pt idx="68">
                  <c:v>74.800000000000011</c:v>
                </c:pt>
                <c:pt idx="69">
                  <c:v>75.899999999999991</c:v>
                </c:pt>
                <c:pt idx="70">
                  <c:v>77</c:v>
                </c:pt>
                <c:pt idx="71">
                  <c:v>78.100000000000009</c:v>
                </c:pt>
                <c:pt idx="72">
                  <c:v>79.199999999999989</c:v>
                </c:pt>
                <c:pt idx="73">
                  <c:v>80.3</c:v>
                </c:pt>
                <c:pt idx="74">
                  <c:v>81.400000000000006</c:v>
                </c:pt>
                <c:pt idx="75">
                  <c:v>82.5</c:v>
                </c:pt>
                <c:pt idx="76">
                  <c:v>83.600000000000009</c:v>
                </c:pt>
                <c:pt idx="77">
                  <c:v>84.7</c:v>
                </c:pt>
                <c:pt idx="78">
                  <c:v>85.8</c:v>
                </c:pt>
                <c:pt idx="79">
                  <c:v>86.9</c:v>
                </c:pt>
                <c:pt idx="80">
                  <c:v>88.000000000000014</c:v>
                </c:pt>
                <c:pt idx="81">
                  <c:v>89.100000000000009</c:v>
                </c:pt>
                <c:pt idx="82">
                  <c:v>90.199999999999989</c:v>
                </c:pt>
                <c:pt idx="83">
                  <c:v>91.3</c:v>
                </c:pt>
                <c:pt idx="84">
                  <c:v>92.399999999999991</c:v>
                </c:pt>
                <c:pt idx="85">
                  <c:v>93.5</c:v>
                </c:pt>
                <c:pt idx="86">
                  <c:v>94.600000000000009</c:v>
                </c:pt>
                <c:pt idx="87">
                  <c:v>95.699999999999989</c:v>
                </c:pt>
                <c:pt idx="88">
                  <c:v>96.8</c:v>
                </c:pt>
                <c:pt idx="89">
                  <c:v>97.9</c:v>
                </c:pt>
                <c:pt idx="90">
                  <c:v>99</c:v>
                </c:pt>
                <c:pt idx="91">
                  <c:v>100.10000000000001</c:v>
                </c:pt>
                <c:pt idx="92">
                  <c:v>101.2</c:v>
                </c:pt>
                <c:pt idx="93">
                  <c:v>102.3</c:v>
                </c:pt>
                <c:pt idx="94">
                  <c:v>103.39999999999999</c:v>
                </c:pt>
                <c:pt idx="95">
                  <c:v>104.5</c:v>
                </c:pt>
                <c:pt idx="96">
                  <c:v>105.6</c:v>
                </c:pt>
                <c:pt idx="97">
                  <c:v>106.7</c:v>
                </c:pt>
                <c:pt idx="98">
                  <c:v>107.8</c:v>
                </c:pt>
                <c:pt idx="99">
                  <c:v>108.89999999999999</c:v>
                </c:pt>
                <c:pt idx="100">
                  <c:v>110</c:v>
                </c:pt>
              </c:numCache>
            </c:numRef>
          </c:cat>
          <c:val>
            <c:numRef>
              <c:f>'Calculations - Single'!$CD$5:$CD$105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1.1000000000000001</c:v>
                </c:pt>
                <c:pt idx="2">
                  <c:v>2.2000000000000002</c:v>
                </c:pt>
                <c:pt idx="3">
                  <c:v>3.3</c:v>
                </c:pt>
                <c:pt idx="4">
                  <c:v>4.4000000000000004</c:v>
                </c:pt>
                <c:pt idx="5">
                  <c:v>5.5000000000000009</c:v>
                </c:pt>
                <c:pt idx="6">
                  <c:v>6.6</c:v>
                </c:pt>
                <c:pt idx="7">
                  <c:v>7.7000000000000011</c:v>
                </c:pt>
                <c:pt idx="8">
                  <c:v>8.8000000000000007</c:v>
                </c:pt>
                <c:pt idx="9">
                  <c:v>9.8999999999999986</c:v>
                </c:pt>
                <c:pt idx="10">
                  <c:v>11.000000000000002</c:v>
                </c:pt>
                <c:pt idx="11">
                  <c:v>12.1</c:v>
                </c:pt>
                <c:pt idx="12">
                  <c:v>13.2</c:v>
                </c:pt>
                <c:pt idx="13">
                  <c:v>14.3</c:v>
                </c:pt>
                <c:pt idx="14">
                  <c:v>15.400000000000002</c:v>
                </c:pt>
                <c:pt idx="15">
                  <c:v>16.5</c:v>
                </c:pt>
                <c:pt idx="16">
                  <c:v>17.600000000000001</c:v>
                </c:pt>
                <c:pt idx="17">
                  <c:v>18.700000000000003</c:v>
                </c:pt>
                <c:pt idx="18">
                  <c:v>19.799999999999997</c:v>
                </c:pt>
                <c:pt idx="19">
                  <c:v>20.900000000000002</c:v>
                </c:pt>
                <c:pt idx="20">
                  <c:v>22.000000000000004</c:v>
                </c:pt>
                <c:pt idx="21">
                  <c:v>23.099999999999998</c:v>
                </c:pt>
                <c:pt idx="22">
                  <c:v>24.2</c:v>
                </c:pt>
                <c:pt idx="23">
                  <c:v>25.3</c:v>
                </c:pt>
                <c:pt idx="24">
                  <c:v>26.4</c:v>
                </c:pt>
                <c:pt idx="25">
                  <c:v>27.5</c:v>
                </c:pt>
                <c:pt idx="26">
                  <c:v>28.6</c:v>
                </c:pt>
                <c:pt idx="27">
                  <c:v>29.7</c:v>
                </c:pt>
                <c:pt idx="28">
                  <c:v>30.800000000000004</c:v>
                </c:pt>
                <c:pt idx="29">
                  <c:v>31.9</c:v>
                </c:pt>
                <c:pt idx="30">
                  <c:v>33</c:v>
                </c:pt>
                <c:pt idx="31">
                  <c:v>34.1</c:v>
                </c:pt>
                <c:pt idx="32">
                  <c:v>35.200000000000003</c:v>
                </c:pt>
                <c:pt idx="33">
                  <c:v>36.299999999999997</c:v>
                </c:pt>
                <c:pt idx="34">
                  <c:v>37.400000000000006</c:v>
                </c:pt>
                <c:pt idx="35">
                  <c:v>38.5</c:v>
                </c:pt>
                <c:pt idx="36">
                  <c:v>39.599999999999994</c:v>
                </c:pt>
                <c:pt idx="37">
                  <c:v>40.700000000000003</c:v>
                </c:pt>
                <c:pt idx="38">
                  <c:v>41.800000000000004</c:v>
                </c:pt>
                <c:pt idx="39">
                  <c:v>42.9</c:v>
                </c:pt>
                <c:pt idx="40">
                  <c:v>44.000000000000007</c:v>
                </c:pt>
                <c:pt idx="41">
                  <c:v>45.099999999999994</c:v>
                </c:pt>
                <c:pt idx="42">
                  <c:v>46.199999999999996</c:v>
                </c:pt>
                <c:pt idx="43">
                  <c:v>47.300000000000004</c:v>
                </c:pt>
                <c:pt idx="44">
                  <c:v>48.4</c:v>
                </c:pt>
                <c:pt idx="45">
                  <c:v>49.5</c:v>
                </c:pt>
                <c:pt idx="46">
                  <c:v>50.6</c:v>
                </c:pt>
                <c:pt idx="47">
                  <c:v>51.699999999999996</c:v>
                </c:pt>
                <c:pt idx="48">
                  <c:v>52.8</c:v>
                </c:pt>
                <c:pt idx="49">
                  <c:v>53.9</c:v>
                </c:pt>
                <c:pt idx="50">
                  <c:v>55</c:v>
                </c:pt>
                <c:pt idx="51">
                  <c:v>56.1</c:v>
                </c:pt>
                <c:pt idx="52">
                  <c:v>57.2</c:v>
                </c:pt>
                <c:pt idx="53">
                  <c:v>58.300000000000004</c:v>
                </c:pt>
                <c:pt idx="54">
                  <c:v>59.4</c:v>
                </c:pt>
                <c:pt idx="55">
                  <c:v>60.500000000000007</c:v>
                </c:pt>
                <c:pt idx="56">
                  <c:v>61.600000000000009</c:v>
                </c:pt>
                <c:pt idx="57">
                  <c:v>62.699999999999989</c:v>
                </c:pt>
                <c:pt idx="58">
                  <c:v>63.8</c:v>
                </c:pt>
                <c:pt idx="59">
                  <c:v>64.900000000000006</c:v>
                </c:pt>
                <c:pt idx="60">
                  <c:v>66</c:v>
                </c:pt>
                <c:pt idx="61">
                  <c:v>67.099999999999994</c:v>
                </c:pt>
                <c:pt idx="62">
                  <c:v>68.2</c:v>
                </c:pt>
                <c:pt idx="63">
                  <c:v>69.3</c:v>
                </c:pt>
                <c:pt idx="64">
                  <c:v>70.400000000000006</c:v>
                </c:pt>
                <c:pt idx="65">
                  <c:v>71.500000000000014</c:v>
                </c:pt>
                <c:pt idx="66">
                  <c:v>72.599999999999994</c:v>
                </c:pt>
                <c:pt idx="67">
                  <c:v>73.7</c:v>
                </c:pt>
                <c:pt idx="68">
                  <c:v>74.800000000000011</c:v>
                </c:pt>
                <c:pt idx="69">
                  <c:v>75.899999999999991</c:v>
                </c:pt>
                <c:pt idx="70">
                  <c:v>77</c:v>
                </c:pt>
                <c:pt idx="71">
                  <c:v>78.100000000000009</c:v>
                </c:pt>
                <c:pt idx="72">
                  <c:v>79.199999999999989</c:v>
                </c:pt>
                <c:pt idx="73">
                  <c:v>80.3</c:v>
                </c:pt>
                <c:pt idx="74">
                  <c:v>81.400000000000006</c:v>
                </c:pt>
                <c:pt idx="75">
                  <c:v>82.5</c:v>
                </c:pt>
                <c:pt idx="76">
                  <c:v>83.600000000000009</c:v>
                </c:pt>
                <c:pt idx="77">
                  <c:v>84.7</c:v>
                </c:pt>
                <c:pt idx="78">
                  <c:v>85.8</c:v>
                </c:pt>
                <c:pt idx="79">
                  <c:v>86.9</c:v>
                </c:pt>
                <c:pt idx="80">
                  <c:v>88.000000000000014</c:v>
                </c:pt>
                <c:pt idx="81">
                  <c:v>89.100000000000009</c:v>
                </c:pt>
                <c:pt idx="82">
                  <c:v>90.199999999999989</c:v>
                </c:pt>
                <c:pt idx="83">
                  <c:v>91.3</c:v>
                </c:pt>
                <c:pt idx="84">
                  <c:v>92.399999999999991</c:v>
                </c:pt>
                <c:pt idx="85">
                  <c:v>93.5</c:v>
                </c:pt>
                <c:pt idx="86">
                  <c:v>94.600000000000009</c:v>
                </c:pt>
                <c:pt idx="87">
                  <c:v>95.699999999999989</c:v>
                </c:pt>
                <c:pt idx="88">
                  <c:v>96.8</c:v>
                </c:pt>
                <c:pt idx="89">
                  <c:v>97.9</c:v>
                </c:pt>
                <c:pt idx="90">
                  <c:v>99</c:v>
                </c:pt>
                <c:pt idx="91">
                  <c:v>100.10000000000001</c:v>
                </c:pt>
                <c:pt idx="92">
                  <c:v>101.2</c:v>
                </c:pt>
                <c:pt idx="93">
                  <c:v>102.3</c:v>
                </c:pt>
                <c:pt idx="94">
                  <c:v>103.39999999999999</c:v>
                </c:pt>
                <c:pt idx="95">
                  <c:v>104.5</c:v>
                </c:pt>
                <c:pt idx="96">
                  <c:v>105.6</c:v>
                </c:pt>
                <c:pt idx="97">
                  <c:v>106.7</c:v>
                </c:pt>
                <c:pt idx="98">
                  <c:v>107.8</c:v>
                </c:pt>
                <c:pt idx="99">
                  <c:v>108.89999999999999</c:v>
                </c:pt>
                <c:pt idx="100">
                  <c:v>110</c:v>
                </c:pt>
              </c:numCache>
            </c:numRef>
          </c:cat>
          <c:val>
            <c:numRef>
              <c:f>'Calculations - Single'!$CD$216:$CD$316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dLbls>
          <c:showLegendKey val="0"/>
          <c:showVal val="0"/>
          <c:showCatName val="0"/>
          <c:showSerName val="0"/>
          <c:showPercent val="0"/>
          <c:showBubbleSize val="0"/>
        </c:dLbls>
        <c:marker val="1"/>
        <c:smooth val="0"/>
        <c:axId val="186914304"/>
        <c:axId val="186916224"/>
      </c:lineChart>
      <c:lineChart>
        <c:grouping val="standard"/>
        <c:varyColors val="0"/>
        <c:ser>
          <c:idx val="6"/>
          <c:order val="6"/>
          <c:spPr>
            <a:ln w="31750">
              <a:solidFill>
                <a:srgbClr val="FF0000"/>
              </a:solidFill>
            </a:ln>
          </c:spPr>
          <c:marker>
            <c:symbol val="none"/>
          </c:marker>
          <c:val>
            <c:numRef>
              <c:f>'Calculations - Single'!$AW$5:$AW$105</c:f>
              <c:numCache>
                <c:formatCode>0.000</c:formatCode>
                <c:ptCount val="101"/>
                <c:pt idx="0">
                  <c:v>1.1358333333333333E-2</c:v>
                </c:pt>
                <c:pt idx="1">
                  <c:v>1.5330459770114943E-2</c:v>
                </c:pt>
                <c:pt idx="2">
                  <c:v>3.0660919540229887E-2</c:v>
                </c:pt>
                <c:pt idx="3">
                  <c:v>4.5991379310344839E-2</c:v>
                </c:pt>
                <c:pt idx="4">
                  <c:v>6.1321839080459774E-2</c:v>
                </c:pt>
                <c:pt idx="5">
                  <c:v>7.6652298850574715E-2</c:v>
                </c:pt>
                <c:pt idx="6">
                  <c:v>9.1982758620689678E-2</c:v>
                </c:pt>
                <c:pt idx="7">
                  <c:v>0.10731321839080464</c:v>
                </c:pt>
                <c:pt idx="8">
                  <c:v>0.12264367816091955</c:v>
                </c:pt>
                <c:pt idx="9">
                  <c:v>0.13797413793103447</c:v>
                </c:pt>
                <c:pt idx="10">
                  <c:v>0.15330459770114943</c:v>
                </c:pt>
                <c:pt idx="11">
                  <c:v>0.16863505747126439</c:v>
                </c:pt>
                <c:pt idx="12">
                  <c:v>0.18396551724137936</c:v>
                </c:pt>
                <c:pt idx="13">
                  <c:v>0.19929597701149429</c:v>
                </c:pt>
                <c:pt idx="14">
                  <c:v>0.21462643678160928</c:v>
                </c:pt>
                <c:pt idx="15">
                  <c:v>0.22995689655172416</c:v>
                </c:pt>
                <c:pt idx="16">
                  <c:v>0.2452873563218391</c:v>
                </c:pt>
                <c:pt idx="17">
                  <c:v>0.26061781609195411</c:v>
                </c:pt>
                <c:pt idx="18">
                  <c:v>0.27594827586206894</c:v>
                </c:pt>
                <c:pt idx="19">
                  <c:v>0.29127873563218393</c:v>
                </c:pt>
                <c:pt idx="20">
                  <c:v>0.30660919540229886</c:v>
                </c:pt>
                <c:pt idx="21">
                  <c:v>0.32193965517241385</c:v>
                </c:pt>
                <c:pt idx="22">
                  <c:v>0.33727011494252879</c:v>
                </c:pt>
                <c:pt idx="23">
                  <c:v>0.35260057471264367</c:v>
                </c:pt>
                <c:pt idx="24">
                  <c:v>0.36793103448275871</c:v>
                </c:pt>
                <c:pt idx="25">
                  <c:v>0.38609097770749157</c:v>
                </c:pt>
                <c:pt idx="26">
                  <c:v>0.40840757470451433</c:v>
                </c:pt>
                <c:pt idx="27">
                  <c:v>0.41618746566775344</c:v>
                </c:pt>
                <c:pt idx="28">
                  <c:v>0.42382456993651441</c:v>
                </c:pt>
                <c:pt idx="29">
                  <c:v>0.43132647215861364</c:v>
                </c:pt>
                <c:pt idx="30">
                  <c:v>0.43870010837441026</c:v>
                </c:pt>
                <c:pt idx="31">
                  <c:v>0.44595184111139541</c:v>
                </c:pt>
                <c:pt idx="32">
                  <c:v>0.45308752365692795</c:v>
                </c:pt>
                <c:pt idx="33">
                  <c:v>0.46011255535628581</c:v>
                </c:pt>
                <c:pt idx="34">
                  <c:v>0.46703192942176364</c:v>
                </c:pt>
                <c:pt idx="35">
                  <c:v>0.47385027445632993</c:v>
                </c:pt>
                <c:pt idx="36">
                  <c:v>0.48057189067325107</c:v>
                </c:pt>
                <c:pt idx="37">
                  <c:v>0.48720078161697067</c:v>
                </c:pt>
                <c:pt idx="38">
                  <c:v>0.49374068204991084</c:v>
                </c:pt>
                <c:pt idx="39">
                  <c:v>0.50019508255683121</c:v>
                </c:pt>
                <c:pt idx="40">
                  <c:v>0.50656725132696756</c:v>
                </c:pt>
                <c:pt idx="41">
                  <c:v>0.5128602534998038</c:v>
                </c:pt>
                <c:pt idx="42">
                  <c:v>0.5190769683994918</c:v>
                </c:pt>
                <c:pt idx="43">
                  <c:v>0.52522010493290427</c:v>
                </c:pt>
                <c:pt idx="44">
                  <c:v>0.53129221538495652</c:v>
                </c:pt>
                <c:pt idx="45">
                  <c:v>0.53729570781049318</c:v>
                </c:pt>
                <c:pt idx="46">
                  <c:v>0.54323285719339809</c:v>
                </c:pt>
                <c:pt idx="47">
                  <c:v>0.54910581551958348</c:v>
                </c:pt>
                <c:pt idx="48">
                  <c:v>0.55491662089033778</c:v>
                </c:pt>
                <c:pt idx="49">
                  <c:v>0.56066720578545948</c:v>
                </c:pt>
                <c:pt idx="50">
                  <c:v>0.56635940457115996</c:v>
                </c:pt>
                <c:pt idx="51">
                  <c:v>0.57199496033542363</c:v>
                </c:pt>
                <c:pt idx="52">
                  <c:v>0.57757553112302706</c:v>
                </c:pt>
                <c:pt idx="53">
                  <c:v>0.58310269563342865</c:v>
                </c:pt>
                <c:pt idx="54">
                  <c:v>0.58857795843702365</c:v>
                </c:pt>
                <c:pt idx="55">
                  <c:v>0.59400275475861108</c:v>
                </c:pt>
                <c:pt idx="56">
                  <c:v>0.59937845487116292</c:v>
                </c:pt>
                <c:pt idx="57">
                  <c:v>0.60470636813801337</c:v>
                </c:pt>
                <c:pt idx="58">
                  <c:v>0.60998774673725253</c:v>
                </c:pt>
                <c:pt idx="59">
                  <c:v>0.61522378909833653</c:v>
                </c:pt>
                <c:pt idx="60">
                  <c:v>0.62041564307763752</c:v>
                </c:pt>
                <c:pt idx="61">
                  <c:v>0.6255644088967679</c:v>
                </c:pt>
                <c:pt idx="62">
                  <c:v>0.63067114186498707</c:v>
                </c:pt>
                <c:pt idx="63">
                  <c:v>0.6357368549047715</c:v>
                </c:pt>
                <c:pt idx="64">
                  <c:v>0.64076252089766805</c:v>
                </c:pt>
                <c:pt idx="65">
                  <c:v>0.64574907486581701</c:v>
                </c:pt>
                <c:pt idx="66">
                  <c:v>0.65069741600300091</c:v>
                </c:pt>
                <c:pt idx="67">
                  <c:v>0.65560840956771327</c:v>
                </c:pt>
                <c:pt idx="68">
                  <c:v>0.6604828886495322</c:v>
                </c:pt>
                <c:pt idx="69">
                  <c:v>0.66532165581901404</c:v>
                </c:pt>
                <c:pt idx="70">
                  <c:v>0.67012548467035515</c:v>
                </c:pt>
                <c:pt idx="71">
                  <c:v>0.66999517727920377</c:v>
                </c:pt>
                <c:pt idx="72">
                  <c:v>0.66532616445698201</c:v>
                </c:pt>
                <c:pt idx="73">
                  <c:v>0.66075342185499097</c:v>
                </c:pt>
                <c:pt idx="74">
                  <c:v>0.6689655172413792</c:v>
                </c:pt>
                <c:pt idx="75">
                  <c:v>0.66896551724137931</c:v>
                </c:pt>
                <c:pt idx="76">
                  <c:v>0.66896551724137931</c:v>
                </c:pt>
                <c:pt idx="77">
                  <c:v>0.66896551724137931</c:v>
                </c:pt>
                <c:pt idx="78">
                  <c:v>0.6689655172413792</c:v>
                </c:pt>
                <c:pt idx="79">
                  <c:v>0.66896551724137931</c:v>
                </c:pt>
                <c:pt idx="80">
                  <c:v>0.66896551724137931</c:v>
                </c:pt>
                <c:pt idx="81">
                  <c:v>0.66896551724137943</c:v>
                </c:pt>
                <c:pt idx="82">
                  <c:v>0.66896551724137931</c:v>
                </c:pt>
                <c:pt idx="83">
                  <c:v>0.6689655172413792</c:v>
                </c:pt>
                <c:pt idx="84">
                  <c:v>0.6689655172413792</c:v>
                </c:pt>
                <c:pt idx="85">
                  <c:v>0.6689655172413792</c:v>
                </c:pt>
                <c:pt idx="86">
                  <c:v>0.66896551724137943</c:v>
                </c:pt>
                <c:pt idx="87">
                  <c:v>0.66896551724137931</c:v>
                </c:pt>
                <c:pt idx="88">
                  <c:v>0.66896551724137931</c:v>
                </c:pt>
                <c:pt idx="89">
                  <c:v>0.66896551724137931</c:v>
                </c:pt>
                <c:pt idx="90">
                  <c:v>0.66896551724137931</c:v>
                </c:pt>
                <c:pt idx="91">
                  <c:v>0.6689655172413792</c:v>
                </c:pt>
                <c:pt idx="92">
                  <c:v>0.66896551724137943</c:v>
                </c:pt>
                <c:pt idx="93">
                  <c:v>0.66896551724137943</c:v>
                </c:pt>
                <c:pt idx="94">
                  <c:v>0.66896551724137931</c:v>
                </c:pt>
                <c:pt idx="95">
                  <c:v>0.66896551724137943</c:v>
                </c:pt>
                <c:pt idx="96">
                  <c:v>0.6689655172413792</c:v>
                </c:pt>
                <c:pt idx="97">
                  <c:v>0.66896551724137931</c:v>
                </c:pt>
                <c:pt idx="98">
                  <c:v>0.66896551724137931</c:v>
                </c:pt>
                <c:pt idx="99">
                  <c:v>0.66896551724137931</c:v>
                </c:pt>
                <c:pt idx="100">
                  <c:v>0.66896551724137931</c:v>
                </c:pt>
              </c:numCache>
            </c:numRef>
          </c:val>
          <c:smooth val="0"/>
        </c:ser>
        <c:ser>
          <c:idx val="7"/>
          <c:order val="7"/>
          <c:spPr>
            <a:ln w="31750">
              <a:solidFill>
                <a:srgbClr val="00B050"/>
              </a:solidFill>
            </a:ln>
          </c:spPr>
          <c:marker>
            <c:symbol val="none"/>
          </c:marker>
          <c:val>
            <c:numRef>
              <c:f>'Calculations - Single'!$AW$110:$AW$210</c:f>
              <c:numCache>
                <c:formatCode>0.000</c:formatCode>
                <c:ptCount val="101"/>
                <c:pt idx="0">
                  <c:v>1.363E-2</c:v>
                </c:pt>
                <c:pt idx="1">
                  <c:v>1.8396551724137934E-2</c:v>
                </c:pt>
                <c:pt idx="2">
                  <c:v>3.6793103448275868E-2</c:v>
                </c:pt>
                <c:pt idx="3">
                  <c:v>5.518965517241381E-2</c:v>
                </c:pt>
                <c:pt idx="4">
                  <c:v>7.3586206896551737E-2</c:v>
                </c:pt>
                <c:pt idx="5">
                  <c:v>9.1982758620689678E-2</c:v>
                </c:pt>
                <c:pt idx="6">
                  <c:v>0.11037931034482762</c:v>
                </c:pt>
                <c:pt idx="7">
                  <c:v>0.12877586206896557</c:v>
                </c:pt>
                <c:pt idx="8">
                  <c:v>0.14717241379310347</c:v>
                </c:pt>
                <c:pt idx="9">
                  <c:v>0.16556896551724137</c:v>
                </c:pt>
                <c:pt idx="10">
                  <c:v>0.18396551724137936</c:v>
                </c:pt>
                <c:pt idx="11">
                  <c:v>0.20236206896551728</c:v>
                </c:pt>
                <c:pt idx="12">
                  <c:v>0.22075862068965524</c:v>
                </c:pt>
                <c:pt idx="13">
                  <c:v>0.23915517241379314</c:v>
                </c:pt>
                <c:pt idx="14">
                  <c:v>0.25755172413793115</c:v>
                </c:pt>
                <c:pt idx="15">
                  <c:v>0.27594827586206899</c:v>
                </c:pt>
                <c:pt idx="16">
                  <c:v>0.29434482758620695</c:v>
                </c:pt>
                <c:pt idx="17">
                  <c:v>0.3127413793103449</c:v>
                </c:pt>
                <c:pt idx="18">
                  <c:v>0.33113793103448275</c:v>
                </c:pt>
                <c:pt idx="19">
                  <c:v>0.34953448275862076</c:v>
                </c:pt>
                <c:pt idx="20">
                  <c:v>0.36793103448275871</c:v>
                </c:pt>
                <c:pt idx="21">
                  <c:v>0.38632758620689667</c:v>
                </c:pt>
                <c:pt idx="22">
                  <c:v>0.40472413793103457</c:v>
                </c:pt>
                <c:pt idx="23">
                  <c:v>0.42312068965517247</c:v>
                </c:pt>
                <c:pt idx="24">
                  <c:v>0.44151724137931048</c:v>
                </c:pt>
                <c:pt idx="25">
                  <c:v>0.45991379310344838</c:v>
                </c:pt>
                <c:pt idx="26">
                  <c:v>0.47767975674085239</c:v>
                </c:pt>
                <c:pt idx="27">
                  <c:v>0.48677923641009996</c:v>
                </c:pt>
                <c:pt idx="28">
                  <c:v>0.4957117105737972</c:v>
                </c:pt>
                <c:pt idx="29">
                  <c:v>0.50448605035223715</c:v>
                </c:pt>
                <c:pt idx="30">
                  <c:v>0.51311036824449374</c:v>
                </c:pt>
                <c:pt idx="31">
                  <c:v>0.52159210596020333</c:v>
                </c:pt>
                <c:pt idx="32">
                  <c:v>0.52993810959394116</c:v>
                </c:pt>
                <c:pt idx="33">
                  <c:v>0.53815469430266971</c:v>
                </c:pt>
                <c:pt idx="34">
                  <c:v>0.54624770022399172</c:v>
                </c:pt>
                <c:pt idx="35">
                  <c:v>0.55422254104285573</c:v>
                </c:pt>
                <c:pt idx="36">
                  <c:v>0.56208424635458343</c:v>
                </c:pt>
                <c:pt idx="37">
                  <c:v>0.56983749876609546</c:v>
                </c:pt>
                <c:pt idx="38">
                  <c:v>0.57748666651274294</c:v>
                </c:pt>
                <c:pt idx="39">
                  <c:v>0.58503583223594091</c:v>
                </c:pt>
                <c:pt idx="40">
                  <c:v>0.5924888184598931</c:v>
                </c:pt>
                <c:pt idx="41">
                  <c:v>0.59984921021870152</c:v>
                </c:pt>
                <c:pt idx="42">
                  <c:v>0.60712037521400986</c:v>
                </c:pt>
                <c:pt idx="43">
                  <c:v>0.61430548182480027</c:v>
                </c:pt>
                <c:pt idx="44">
                  <c:v>0.62140751524261428</c:v>
                </c:pt>
                <c:pt idx="45">
                  <c:v>0.6284292919652934</c:v>
                </c:pt>
                <c:pt idx="46">
                  <c:v>0.63537347284884338</c:v>
                </c:pt>
                <c:pt idx="47">
                  <c:v>0.64224257488895897</c:v>
                </c:pt>
                <c:pt idx="48">
                  <c:v>0.64903898188013331</c:v>
                </c:pt>
                <c:pt idx="49">
                  <c:v>0.65576495408034741</c:v>
                </c:pt>
                <c:pt idx="50">
                  <c:v>0.66242263699242643</c:v>
                </c:pt>
                <c:pt idx="51">
                  <c:v>0.66901406935878416</c:v>
                </c:pt>
                <c:pt idx="52">
                  <c:v>0.67554119045399441</c:v>
                </c:pt>
                <c:pt idx="53">
                  <c:v>0.68200584674913156</c:v>
                </c:pt>
                <c:pt idx="54">
                  <c:v>0.68840979801278257</c:v>
                </c:pt>
                <c:pt idx="55">
                  <c:v>0.69261984840077251</c:v>
                </c:pt>
                <c:pt idx="56">
                  <c:v>0.68640788571385225</c:v>
                </c:pt>
                <c:pt idx="57">
                  <c:v>0.68036012125582856</c:v>
                </c:pt>
                <c:pt idx="58">
                  <c:v>0.70802919708029188</c:v>
                </c:pt>
                <c:pt idx="59">
                  <c:v>0.70802919708029188</c:v>
                </c:pt>
                <c:pt idx="60">
                  <c:v>0.70802919708029188</c:v>
                </c:pt>
                <c:pt idx="61">
                  <c:v>0.70802919708029199</c:v>
                </c:pt>
                <c:pt idx="62">
                  <c:v>0.70802919708029199</c:v>
                </c:pt>
                <c:pt idx="63">
                  <c:v>0.70802919708029199</c:v>
                </c:pt>
                <c:pt idx="64">
                  <c:v>0.70802919708029199</c:v>
                </c:pt>
                <c:pt idx="65">
                  <c:v>0.70802919708029199</c:v>
                </c:pt>
                <c:pt idx="66">
                  <c:v>0.70802919708029199</c:v>
                </c:pt>
                <c:pt idx="67">
                  <c:v>0.70802919708029199</c:v>
                </c:pt>
                <c:pt idx="68">
                  <c:v>0.70802919708029188</c:v>
                </c:pt>
                <c:pt idx="69">
                  <c:v>0.70802919708029199</c:v>
                </c:pt>
                <c:pt idx="70">
                  <c:v>0.70802919708029211</c:v>
                </c:pt>
                <c:pt idx="71">
                  <c:v>0.70802919708029199</c:v>
                </c:pt>
                <c:pt idx="72">
                  <c:v>0.70802919708029199</c:v>
                </c:pt>
                <c:pt idx="73">
                  <c:v>0.70802919708029199</c:v>
                </c:pt>
                <c:pt idx="74">
                  <c:v>0.70802919708029188</c:v>
                </c:pt>
                <c:pt idx="75">
                  <c:v>0.70802919708029199</c:v>
                </c:pt>
                <c:pt idx="76">
                  <c:v>0.70802919708029199</c:v>
                </c:pt>
                <c:pt idx="77">
                  <c:v>0.70802919708029199</c:v>
                </c:pt>
                <c:pt idx="78">
                  <c:v>0.70802919708029188</c:v>
                </c:pt>
                <c:pt idx="79">
                  <c:v>0.70802919708029199</c:v>
                </c:pt>
                <c:pt idx="80">
                  <c:v>0.70802919708029211</c:v>
                </c:pt>
                <c:pt idx="81">
                  <c:v>0.70802919708029211</c:v>
                </c:pt>
                <c:pt idx="82">
                  <c:v>0.70802919708029188</c:v>
                </c:pt>
                <c:pt idx="83">
                  <c:v>0.70802919708029199</c:v>
                </c:pt>
                <c:pt idx="84">
                  <c:v>0.70802919708029199</c:v>
                </c:pt>
                <c:pt idx="85">
                  <c:v>0.70802919708029188</c:v>
                </c:pt>
                <c:pt idx="86">
                  <c:v>0.70802919708029222</c:v>
                </c:pt>
                <c:pt idx="87">
                  <c:v>0.70802919708029199</c:v>
                </c:pt>
                <c:pt idx="88">
                  <c:v>0.70802919708029211</c:v>
                </c:pt>
                <c:pt idx="89">
                  <c:v>0.70802919708029199</c:v>
                </c:pt>
                <c:pt idx="90">
                  <c:v>0.70802919708029188</c:v>
                </c:pt>
                <c:pt idx="91">
                  <c:v>0.70802919708029188</c:v>
                </c:pt>
                <c:pt idx="92">
                  <c:v>0.70802919708029211</c:v>
                </c:pt>
                <c:pt idx="93">
                  <c:v>0.70802919708029199</c:v>
                </c:pt>
                <c:pt idx="94">
                  <c:v>0.70802919708029188</c:v>
                </c:pt>
                <c:pt idx="95">
                  <c:v>0.70802919708029188</c:v>
                </c:pt>
                <c:pt idx="96">
                  <c:v>0.70802919708029188</c:v>
                </c:pt>
                <c:pt idx="97">
                  <c:v>0.70802919708029199</c:v>
                </c:pt>
                <c:pt idx="98">
                  <c:v>0.70802919708029188</c:v>
                </c:pt>
                <c:pt idx="99">
                  <c:v>0.70802919708029199</c:v>
                </c:pt>
                <c:pt idx="100">
                  <c:v>0.70802919708029199</c:v>
                </c:pt>
              </c:numCache>
            </c:numRef>
          </c:val>
          <c:smooth val="0"/>
        </c:ser>
        <c:ser>
          <c:idx val="8"/>
          <c:order val="8"/>
          <c:spPr>
            <a:ln w="31750">
              <a:solidFill>
                <a:srgbClr val="0000FF"/>
              </a:solidFill>
            </a:ln>
          </c:spPr>
          <c:marker>
            <c:symbol val="none"/>
          </c:marker>
          <c:val>
            <c:numRef>
              <c:f>'Calculations - Single'!$AW$216:$AW$316</c:f>
              <c:numCache>
                <c:formatCode>0.000</c:formatCode>
                <c:ptCount val="101"/>
                <c:pt idx="0">
                  <c:v>9.0866666666666665E-3</c:v>
                </c:pt>
                <c:pt idx="1">
                  <c:v>1.2264367816091956E-2</c:v>
                </c:pt>
                <c:pt idx="2">
                  <c:v>2.4528735632183912E-2</c:v>
                </c:pt>
                <c:pt idx="3">
                  <c:v>3.6793103448275868E-2</c:v>
                </c:pt>
                <c:pt idx="4">
                  <c:v>4.9057471264367825E-2</c:v>
                </c:pt>
                <c:pt idx="5">
                  <c:v>6.1321839080459781E-2</c:v>
                </c:pt>
                <c:pt idx="6">
                  <c:v>7.3586206896551737E-2</c:v>
                </c:pt>
                <c:pt idx="7">
                  <c:v>8.5850574712643707E-2</c:v>
                </c:pt>
                <c:pt idx="8">
                  <c:v>9.8114942528735649E-2</c:v>
                </c:pt>
                <c:pt idx="9">
                  <c:v>0.11037931034482759</c:v>
                </c:pt>
                <c:pt idx="10">
                  <c:v>0.12264367816091956</c:v>
                </c:pt>
                <c:pt idx="11">
                  <c:v>0.13490804597701153</c:v>
                </c:pt>
                <c:pt idx="12">
                  <c:v>0.14717241379310347</c:v>
                </c:pt>
                <c:pt idx="13">
                  <c:v>0.15943678160919542</c:v>
                </c:pt>
                <c:pt idx="14">
                  <c:v>0.17170114942528741</c:v>
                </c:pt>
                <c:pt idx="15">
                  <c:v>0.18396551724137933</c:v>
                </c:pt>
                <c:pt idx="16">
                  <c:v>0.1962298850574713</c:v>
                </c:pt>
                <c:pt idx="17">
                  <c:v>0.20849425287356327</c:v>
                </c:pt>
                <c:pt idx="18">
                  <c:v>0.22075862068965518</c:v>
                </c:pt>
                <c:pt idx="19">
                  <c:v>0.23302298850574715</c:v>
                </c:pt>
                <c:pt idx="20">
                  <c:v>0.24528735632183912</c:v>
                </c:pt>
                <c:pt idx="21">
                  <c:v>0.25755172413793109</c:v>
                </c:pt>
                <c:pt idx="22">
                  <c:v>0.26981609195402306</c:v>
                </c:pt>
                <c:pt idx="23">
                  <c:v>0.28208045977011498</c:v>
                </c:pt>
                <c:pt idx="24">
                  <c:v>0.29434482758620695</c:v>
                </c:pt>
                <c:pt idx="25">
                  <c:v>0.30660919540229892</c:v>
                </c:pt>
                <c:pt idx="26">
                  <c:v>0.31845317116056832</c:v>
                </c:pt>
                <c:pt idx="27">
                  <c:v>0.32451949094006671</c:v>
                </c:pt>
                <c:pt idx="28">
                  <c:v>0.3304744737158648</c:v>
                </c:pt>
                <c:pt idx="29">
                  <c:v>0.33632403356815815</c:v>
                </c:pt>
                <c:pt idx="30">
                  <c:v>0.34207357882966249</c:v>
                </c:pt>
                <c:pt idx="31">
                  <c:v>0.34772807064013561</c:v>
                </c:pt>
                <c:pt idx="32">
                  <c:v>0.3532920730626275</c:v>
                </c:pt>
                <c:pt idx="33">
                  <c:v>0.35876979620177984</c:v>
                </c:pt>
                <c:pt idx="34">
                  <c:v>0.36416513348266111</c:v>
                </c:pt>
                <c:pt idx="35">
                  <c:v>0.36948169402857056</c:v>
                </c:pt>
                <c:pt idx="36">
                  <c:v>0.37472283090305558</c:v>
                </c:pt>
                <c:pt idx="37">
                  <c:v>0.37989166584406364</c:v>
                </c:pt>
                <c:pt idx="38">
                  <c:v>0.38499111100849526</c:v>
                </c:pt>
                <c:pt idx="39">
                  <c:v>0.390023888157294</c:v>
                </c:pt>
                <c:pt idx="40">
                  <c:v>0.39499254563992869</c:v>
                </c:pt>
                <c:pt idx="41">
                  <c:v>0.39989947347913429</c:v>
                </c:pt>
                <c:pt idx="42">
                  <c:v>0.40474691680933989</c:v>
                </c:pt>
                <c:pt idx="43">
                  <c:v>0.40953698788320014</c:v>
                </c:pt>
                <c:pt idx="44">
                  <c:v>0.41427167682840954</c:v>
                </c:pt>
                <c:pt idx="45">
                  <c:v>0.41895286131019566</c:v>
                </c:pt>
                <c:pt idx="46">
                  <c:v>0.42358231523256229</c:v>
                </c:pt>
                <c:pt idx="47">
                  <c:v>0.42816171659263935</c:v>
                </c:pt>
                <c:pt idx="48">
                  <c:v>0.43269265458675554</c:v>
                </c:pt>
                <c:pt idx="49">
                  <c:v>0.43717663605356488</c:v>
                </c:pt>
                <c:pt idx="50">
                  <c:v>0.4416150913282843</c:v>
                </c:pt>
                <c:pt idx="51">
                  <c:v>0.44600937957252274</c:v>
                </c:pt>
                <c:pt idx="52">
                  <c:v>0.45036079363599635</c:v>
                </c:pt>
                <c:pt idx="53">
                  <c:v>0.45467056449942106</c:v>
                </c:pt>
                <c:pt idx="54">
                  <c:v>0.45893986534185499</c:v>
                </c:pt>
                <c:pt idx="55">
                  <c:v>0.46316981527057427</c:v>
                </c:pt>
                <c:pt idx="56">
                  <c:v>0.46736148274708689</c:v>
                </c:pt>
                <c:pt idx="57">
                  <c:v>0.47151588873900457</c:v>
                </c:pt>
                <c:pt idx="58">
                  <c:v>0.47563400962411329</c:v>
                </c:pt>
                <c:pt idx="59">
                  <c:v>0.47971677987004885</c:v>
                </c:pt>
                <c:pt idx="60">
                  <c:v>0.48376509451041083</c:v>
                </c:pt>
                <c:pt idx="61">
                  <c:v>0.48777981143590238</c:v>
                </c:pt>
                <c:pt idx="62">
                  <c:v>0.49176175351710927</c:v>
                </c:pt>
                <c:pt idx="63">
                  <c:v>0.49571171057379704</c:v>
                </c:pt>
                <c:pt idx="64">
                  <c:v>0.49963044120407418</c:v>
                </c:pt>
                <c:pt idx="65">
                  <c:v>0.5035186744854212</c:v>
                </c:pt>
                <c:pt idx="66">
                  <c:v>0.50737711155838838</c:v>
                </c:pt>
                <c:pt idx="67">
                  <c:v>0.51120642710270292</c:v>
                </c:pt>
                <c:pt idx="68">
                  <c:v>0.51500727071458796</c:v>
                </c:pt>
                <c:pt idx="69">
                  <c:v>0.51878026819325607</c:v>
                </c:pt>
                <c:pt idx="70">
                  <c:v>0.52252602274379056</c:v>
                </c:pt>
                <c:pt idx="71">
                  <c:v>0.52624511610296421</c:v>
                </c:pt>
                <c:pt idx="72">
                  <c:v>0.52993810959394105</c:v>
                </c:pt>
                <c:pt idx="73">
                  <c:v>0.53360554511528246</c:v>
                </c:pt>
                <c:pt idx="74">
                  <c:v>0.5372479460691828</c:v>
                </c:pt>
                <c:pt idx="75">
                  <c:v>0.54086581823344437</c:v>
                </c:pt>
                <c:pt idx="76">
                  <c:v>0.54445965058129986</c:v>
                </c:pt>
                <c:pt idx="77">
                  <c:v>0.54802991605284546</c:v>
                </c:pt>
                <c:pt idx="78">
                  <c:v>0.55157707228153219</c:v>
                </c:pt>
                <c:pt idx="79">
                  <c:v>0.55510156227887197</c:v>
                </c:pt>
                <c:pt idx="80">
                  <c:v>0.55860381508026091</c:v>
                </c:pt>
                <c:pt idx="81">
                  <c:v>0.56208424635458343</c:v>
                </c:pt>
                <c:pt idx="82">
                  <c:v>0.56554325898005153</c:v>
                </c:pt>
                <c:pt idx="83">
                  <c:v>0.56898124358853464</c:v>
                </c:pt>
                <c:pt idx="84">
                  <c:v>0.57239857908046321</c:v>
                </c:pt>
                <c:pt idx="85">
                  <c:v>0.5757956331122277</c:v>
                </c:pt>
                <c:pt idx="86">
                  <c:v>0.57917276255784766</c:v>
                </c:pt>
                <c:pt idx="87">
                  <c:v>0.58253031394655042</c:v>
                </c:pt>
                <c:pt idx="88">
                  <c:v>0.5858686238777806</c:v>
                </c:pt>
                <c:pt idx="89">
                  <c:v>0.58918801941504395</c:v>
                </c:pt>
                <c:pt idx="90">
                  <c:v>0.59248881845989299</c:v>
                </c:pt>
                <c:pt idx="91">
                  <c:v>0.59577133010726335</c:v>
                </c:pt>
                <c:pt idx="92">
                  <c:v>0.59903585498328527</c:v>
                </c:pt>
                <c:pt idx="93">
                  <c:v>0.60228268556661435</c:v>
                </c:pt>
                <c:pt idx="94">
                  <c:v>0.60512547905292025</c:v>
                </c:pt>
                <c:pt idx="95">
                  <c:v>0.60193218246706393</c:v>
                </c:pt>
                <c:pt idx="96">
                  <c:v>0.59878891198808937</c:v>
                </c:pt>
                <c:pt idx="97">
                  <c:v>0.59569437493133126</c:v>
                </c:pt>
                <c:pt idx="98">
                  <c:v>0.61783439490445857</c:v>
                </c:pt>
                <c:pt idx="99">
                  <c:v>0.61783439490445868</c:v>
                </c:pt>
                <c:pt idx="100">
                  <c:v>0.61783439490445857</c:v>
                </c:pt>
              </c:numCache>
            </c:numRef>
          </c:val>
          <c:smooth val="0"/>
        </c:ser>
        <c:dLbls>
          <c:showLegendKey val="0"/>
          <c:showVal val="0"/>
          <c:showCatName val="0"/>
          <c:showSerName val="0"/>
          <c:showPercent val="0"/>
          <c:showBubbleSize val="0"/>
        </c:dLbls>
        <c:marker val="1"/>
        <c:smooth val="0"/>
        <c:axId val="186928512"/>
        <c:axId val="186926592"/>
      </c:lineChart>
      <c:catAx>
        <c:axId val="186914304"/>
        <c:scaling>
          <c:orientation val="minMax"/>
        </c:scaling>
        <c:delete val="0"/>
        <c:axPos val="b"/>
        <c:majorGridlines>
          <c:spPr>
            <a:ln w="15875">
              <a:solidFill>
                <a:srgbClr val="969696"/>
              </a:solidFill>
              <a:prstDash val="sysDash"/>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400">
                    <a:solidFill>
                      <a:schemeClr val="tx1"/>
                    </a:solidFill>
                    <a:latin typeface="Arial" pitchFamily="34" charset="0"/>
                    <a:cs typeface="Arial" pitchFamily="34" charset="0"/>
                  </a:rPr>
                  <a:t>Load Current (mA)</a:t>
                </a:r>
              </a:p>
            </c:rich>
          </c:tx>
          <c:layout>
            <c:manualLayout>
              <c:xMode val="edge"/>
              <c:yMode val="edge"/>
              <c:x val="0.4112305719849535"/>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186916224"/>
        <c:crosses val="autoZero"/>
        <c:auto val="1"/>
        <c:lblAlgn val="ctr"/>
        <c:lblOffset val="100"/>
        <c:tickLblSkip val="20"/>
        <c:tickMarkSkip val="10"/>
        <c:noMultiLvlLbl val="0"/>
      </c:catAx>
      <c:valAx>
        <c:axId val="186916224"/>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400" b="1">
                    <a:solidFill>
                      <a:schemeClr val="tx1"/>
                    </a:solidFill>
                    <a:latin typeface="Arial" pitchFamily="34" charset="0"/>
                    <a:cs typeface="Arial" pitchFamily="34" charset="0"/>
                  </a:rPr>
                  <a:t>Switching</a:t>
                </a:r>
                <a:r>
                  <a:rPr lang="en-US" sz="1400" b="1" baseline="0">
                    <a:solidFill>
                      <a:schemeClr val="tx1"/>
                    </a:solidFill>
                    <a:latin typeface="Arial" pitchFamily="34" charset="0"/>
                    <a:cs typeface="Arial" pitchFamily="34" charset="0"/>
                  </a:rPr>
                  <a:t> Frquency (kHz)</a:t>
                </a:r>
                <a:endParaRPr lang="en-US" sz="14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186914304"/>
        <c:crossesAt val="0"/>
        <c:crossBetween val="between"/>
        <c:majorUnit val="50"/>
        <c:minorUnit val="25"/>
      </c:valAx>
      <c:valAx>
        <c:axId val="186926592"/>
        <c:scaling>
          <c:orientation val="minMax"/>
          <c:min val="0"/>
        </c:scaling>
        <c:delete val="0"/>
        <c:axPos val="r"/>
        <c:title>
          <c:tx>
            <c:rich>
              <a:bodyPr rot="-5400000" vert="horz"/>
              <a:lstStyle/>
              <a:p>
                <a:pPr>
                  <a:defRPr sz="1400" b="1"/>
                </a:pPr>
                <a:r>
                  <a:rPr lang="en-US" sz="1400" b="1"/>
                  <a:t>Duty Cycle</a:t>
                </a:r>
              </a:p>
            </c:rich>
          </c:tx>
          <c:layout>
            <c:manualLayout>
              <c:xMode val="edge"/>
              <c:yMode val="edge"/>
              <c:x val="0.96323100741439582"/>
              <c:y val="0.41073169332818471"/>
            </c:manualLayout>
          </c:layout>
          <c:overlay val="0"/>
        </c:title>
        <c:numFmt formatCode="General" sourceLinked="0"/>
        <c:majorTickMark val="in"/>
        <c:minorTickMark val="in"/>
        <c:tickLblPos val="nextTo"/>
        <c:txPr>
          <a:bodyPr/>
          <a:lstStyle/>
          <a:p>
            <a:pPr>
              <a:defRPr sz="1200" b="1"/>
            </a:pPr>
            <a:endParaRPr lang="en-US"/>
          </a:p>
        </c:txPr>
        <c:crossAx val="186928512"/>
        <c:crosses val="max"/>
        <c:crossBetween val="between"/>
        <c:majorUnit val="0.1"/>
        <c:minorUnit val="2.0000000000000004E-2"/>
      </c:valAx>
      <c:catAx>
        <c:axId val="186928512"/>
        <c:scaling>
          <c:orientation val="minMax"/>
        </c:scaling>
        <c:delete val="1"/>
        <c:axPos val="b"/>
        <c:majorTickMark val="out"/>
        <c:minorTickMark val="none"/>
        <c:tickLblPos val="nextTo"/>
        <c:crossAx val="186926592"/>
        <c:crosses val="autoZero"/>
        <c:auto val="1"/>
        <c:lblAlgn val="ctr"/>
        <c:lblOffset val="100"/>
        <c:noMultiLvlLbl val="0"/>
      </c:catAx>
      <c:spPr>
        <a:solidFill>
          <a:srgbClr val="FFFFFF"/>
        </a:solidFill>
        <a:ln w="25400">
          <a:noFill/>
        </a:ln>
      </c:spPr>
    </c:plotArea>
    <c:legend>
      <c:legendPos val="t"/>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0.21364188347424315"/>
          <c:y val="3.4655227110648466E-2"/>
          <c:w val="0.56362386153343735"/>
          <c:h val="5.4335766847817754E-2"/>
        </c:manualLayout>
      </c:layout>
      <c:overlay val="0"/>
      <c:spPr>
        <a:solidFill>
          <a:srgbClr val="FFFFFF"/>
        </a:solidFill>
        <a:ln w="25400">
          <a:noFill/>
        </a:ln>
      </c:spPr>
      <c:txPr>
        <a:bodyPr/>
        <a:lstStyle/>
        <a:p>
          <a:pPr>
            <a:defRPr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6"/>
          <c:tx>
            <c:v>VIN-min</c:v>
          </c:tx>
          <c:spPr>
            <a:ln>
              <a:solidFill>
                <a:srgbClr val="00B050"/>
              </a:solidFill>
              <a:prstDash val="sysDash"/>
            </a:ln>
          </c:spPr>
          <c:marker>
            <c:symbol val="none"/>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19.000000000000004</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38.000000000000007</c:v>
                </c:pt>
                <c:pt idx="39">
                  <c:v>39</c:v>
                </c:pt>
                <c:pt idx="40">
                  <c:v>40</c:v>
                </c:pt>
                <c:pt idx="41">
                  <c:v>40.999999999999993</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71.000000000000014</c:v>
                </c:pt>
                <c:pt idx="72">
                  <c:v>72</c:v>
                </c:pt>
                <c:pt idx="73">
                  <c:v>73</c:v>
                </c:pt>
                <c:pt idx="74">
                  <c:v>74</c:v>
                </c:pt>
                <c:pt idx="75">
                  <c:v>75</c:v>
                </c:pt>
                <c:pt idx="76">
                  <c:v>76.000000000000014</c:v>
                </c:pt>
                <c:pt idx="77">
                  <c:v>77</c:v>
                </c:pt>
                <c:pt idx="78">
                  <c:v>78</c:v>
                </c:pt>
                <c:pt idx="79">
                  <c:v>79</c:v>
                </c:pt>
                <c:pt idx="80">
                  <c:v>80</c:v>
                </c:pt>
                <c:pt idx="81">
                  <c:v>81.000000000000014</c:v>
                </c:pt>
                <c:pt idx="82">
                  <c:v>81.999999999999986</c:v>
                </c:pt>
                <c:pt idx="83">
                  <c:v>83</c:v>
                </c:pt>
                <c:pt idx="84">
                  <c:v>84</c:v>
                </c:pt>
                <c:pt idx="85">
                  <c:v>85</c:v>
                </c:pt>
                <c:pt idx="86">
                  <c:v>86</c:v>
                </c:pt>
                <c:pt idx="87">
                  <c:v>86.999999999999986</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13.497103245882563</c:v>
                </c:pt>
                <c:pt idx="2">
                  <c:v>26.994206491765127</c:v>
                </c:pt>
                <c:pt idx="3">
                  <c:v>40.491309737647697</c:v>
                </c:pt>
                <c:pt idx="4">
                  <c:v>53.988412983530253</c:v>
                </c:pt>
                <c:pt idx="5">
                  <c:v>67.485516229412823</c:v>
                </c:pt>
                <c:pt idx="6">
                  <c:v>80.982619475295394</c:v>
                </c:pt>
                <c:pt idx="7">
                  <c:v>94.479722721177964</c:v>
                </c:pt>
                <c:pt idx="8">
                  <c:v>107.97682596706051</c:v>
                </c:pt>
                <c:pt idx="9">
                  <c:v>121.47392921294306</c:v>
                </c:pt>
                <c:pt idx="10">
                  <c:v>134.97103245882565</c:v>
                </c:pt>
                <c:pt idx="11">
                  <c:v>148.4681357047082</c:v>
                </c:pt>
                <c:pt idx="12">
                  <c:v>161.96523895059079</c:v>
                </c:pt>
                <c:pt idx="13">
                  <c:v>175.46234219647332</c:v>
                </c:pt>
                <c:pt idx="14">
                  <c:v>188.95944544235593</c:v>
                </c:pt>
                <c:pt idx="15">
                  <c:v>202.45654868823843</c:v>
                </c:pt>
                <c:pt idx="16">
                  <c:v>215.95365193412101</c:v>
                </c:pt>
                <c:pt idx="17">
                  <c:v>229.45075518000363</c:v>
                </c:pt>
                <c:pt idx="18">
                  <c:v>242.94785842588612</c:v>
                </c:pt>
                <c:pt idx="19">
                  <c:v>256.44496167176874</c:v>
                </c:pt>
                <c:pt idx="20">
                  <c:v>269.94206491765129</c:v>
                </c:pt>
                <c:pt idx="21">
                  <c:v>283.43916816353385</c:v>
                </c:pt>
                <c:pt idx="22">
                  <c:v>296.93627140941641</c:v>
                </c:pt>
                <c:pt idx="23">
                  <c:v>310.43337465529896</c:v>
                </c:pt>
                <c:pt idx="24">
                  <c:v>323.93047790118158</c:v>
                </c:pt>
                <c:pt idx="25">
                  <c:v>337.42758114706413</c:v>
                </c:pt>
                <c:pt idx="26">
                  <c:v>350</c:v>
                </c:pt>
                <c:pt idx="27">
                  <c:v>350</c:v>
                </c:pt>
                <c:pt idx="28">
                  <c:v>350</c:v>
                </c:pt>
                <c:pt idx="29">
                  <c:v>346.63271722205837</c:v>
                </c:pt>
                <c:pt idx="30">
                  <c:v>335.07829331465632</c:v>
                </c:pt>
                <c:pt idx="31">
                  <c:v>324.26931611095785</c:v>
                </c:pt>
                <c:pt idx="32">
                  <c:v>314.13589998249029</c:v>
                </c:pt>
                <c:pt idx="33">
                  <c:v>304.6166302860513</c:v>
                </c:pt>
                <c:pt idx="34">
                  <c:v>295.6573176305792</c:v>
                </c:pt>
                <c:pt idx="35">
                  <c:v>287.20996569827696</c:v>
                </c:pt>
                <c:pt idx="36">
                  <c:v>279.23191109554699</c:v>
                </c:pt>
                <c:pt idx="37">
                  <c:v>271.68510268755927</c:v>
                </c:pt>
                <c:pt idx="38">
                  <c:v>264.5354947220971</c:v>
                </c:pt>
                <c:pt idx="39">
                  <c:v>257.75253331896641</c:v>
                </c:pt>
                <c:pt idx="40">
                  <c:v>251.3087199859923</c:v>
                </c:pt>
                <c:pt idx="41">
                  <c:v>245.17923901072416</c:v>
                </c:pt>
                <c:pt idx="42">
                  <c:v>239.34163808189746</c:v>
                </c:pt>
                <c:pt idx="43">
                  <c:v>233.77555347534164</c:v>
                </c:pt>
                <c:pt idx="44">
                  <c:v>228.46247271453842</c:v>
                </c:pt>
                <c:pt idx="45">
                  <c:v>223.38552887643755</c:v>
                </c:pt>
                <c:pt idx="46">
                  <c:v>218.52932172694977</c:v>
                </c:pt>
                <c:pt idx="47">
                  <c:v>213.87976169020615</c:v>
                </c:pt>
                <c:pt idx="48">
                  <c:v>209.42393332166023</c:v>
                </c:pt>
                <c:pt idx="49">
                  <c:v>205.14997549876924</c:v>
                </c:pt>
                <c:pt idx="50">
                  <c:v>201.0469759887938</c:v>
                </c:pt>
                <c:pt idx="51">
                  <c:v>197.10487842038606</c:v>
                </c:pt>
                <c:pt idx="52">
                  <c:v>193.31439998922485</c:v>
                </c:pt>
                <c:pt idx="53">
                  <c:v>189.66695847999415</c:v>
                </c:pt>
                <c:pt idx="54">
                  <c:v>186.1546073970313</c:v>
                </c:pt>
                <c:pt idx="55">
                  <c:v>182.76997817163073</c:v>
                </c:pt>
                <c:pt idx="56">
                  <c:v>179.50622856142303</c:v>
                </c:pt>
                <c:pt idx="57">
                  <c:v>176.35699648139808</c:v>
                </c:pt>
                <c:pt idx="58">
                  <c:v>173.31635861102919</c:v>
                </c:pt>
                <c:pt idx="59">
                  <c:v>170.37879321084228</c:v>
                </c:pt>
                <c:pt idx="60">
                  <c:v>167.53914665732816</c:v>
                </c:pt>
                <c:pt idx="61">
                  <c:v>164.79260326950316</c:v>
                </c:pt>
                <c:pt idx="62">
                  <c:v>162.13465805547892</c:v>
                </c:pt>
                <c:pt idx="63">
                  <c:v>159.56109205459828</c:v>
                </c:pt>
                <c:pt idx="64">
                  <c:v>157.06794999124514</c:v>
                </c:pt>
                <c:pt idx="65">
                  <c:v>154.65151999137984</c:v>
                </c:pt>
                <c:pt idx="66">
                  <c:v>152.30831514302565</c:v>
                </c:pt>
                <c:pt idx="67">
                  <c:v>150.03505670805512</c:v>
                </c:pt>
                <c:pt idx="68">
                  <c:v>147.8286588152896</c:v>
                </c:pt>
                <c:pt idx="69">
                  <c:v>145.68621448463321</c:v>
                </c:pt>
                <c:pt idx="70">
                  <c:v>143.60498284913848</c:v>
                </c:pt>
                <c:pt idx="71">
                  <c:v>141.58237745689709</c:v>
                </c:pt>
                <c:pt idx="72">
                  <c:v>139.6159555477735</c:v>
                </c:pt>
                <c:pt idx="73">
                  <c:v>137.70340821150262</c:v>
                </c:pt>
                <c:pt idx="74">
                  <c:v>135.84255134377963</c:v>
                </c:pt>
                <c:pt idx="75">
                  <c:v>134.03131732586252</c:v>
                </c:pt>
                <c:pt idx="76">
                  <c:v>132.26774736104855</c:v>
                </c:pt>
                <c:pt idx="77">
                  <c:v>130.54998440830767</c:v>
                </c:pt>
                <c:pt idx="78">
                  <c:v>128.87626665948321</c:v>
                </c:pt>
                <c:pt idx="79">
                  <c:v>127.24492151189482</c:v>
                </c:pt>
                <c:pt idx="80">
                  <c:v>125.65435999299615</c:v>
                </c:pt>
                <c:pt idx="81">
                  <c:v>124.10307159802083</c:v>
                </c:pt>
                <c:pt idx="82">
                  <c:v>122.58961950536208</c:v>
                </c:pt>
                <c:pt idx="83">
                  <c:v>121.11263613782762</c:v>
                </c:pt>
                <c:pt idx="84">
                  <c:v>119.67081904094873</c:v>
                </c:pt>
                <c:pt idx="85">
                  <c:v>118.26292705223166</c:v>
                </c:pt>
                <c:pt idx="86">
                  <c:v>116.88777673767082</c:v>
                </c:pt>
                <c:pt idx="87">
                  <c:v>115.54423907401942</c:v>
                </c:pt>
                <c:pt idx="88">
                  <c:v>114.23123635726921</c:v>
                </c:pt>
                <c:pt idx="89">
                  <c:v>112.94773931954708</c:v>
                </c:pt>
                <c:pt idx="90">
                  <c:v>111.69276443821877</c:v>
                </c:pt>
                <c:pt idx="91">
                  <c:v>110.46537142241418</c:v>
                </c:pt>
                <c:pt idx="92">
                  <c:v>109.26466086347489</c:v>
                </c:pt>
                <c:pt idx="93">
                  <c:v>108.08977203698592</c:v>
                </c:pt>
                <c:pt idx="94">
                  <c:v>106.93988084510308</c:v>
                </c:pt>
                <c:pt idx="95">
                  <c:v>105.81419788883886</c:v>
                </c:pt>
                <c:pt idx="96">
                  <c:v>104.71196666083011</c:v>
                </c:pt>
                <c:pt idx="97">
                  <c:v>103.81741568073944</c:v>
                </c:pt>
                <c:pt idx="98">
                  <c:v>103.50856460941682</c:v>
                </c:pt>
                <c:pt idx="99">
                  <c:v>103.20161093218742</c:v>
                </c:pt>
                <c:pt idx="100">
                  <c:v>102.89653721793259</c:v>
                </c:pt>
              </c:numCache>
            </c:numRef>
          </c:val>
          <c:smooth val="0"/>
        </c:ser>
        <c:ser>
          <c:idx val="10"/>
          <c:order val="7"/>
          <c:tx>
            <c:v>VIN-nom</c:v>
          </c:tx>
          <c:spPr>
            <a:ln w="28575">
              <a:solidFill>
                <a:srgbClr val="0000FF"/>
              </a:solidFill>
              <a:prstDash val="lgDash"/>
            </a:ln>
          </c:spPr>
          <c:marker>
            <c:symbol val="none"/>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19.000000000000004</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38.000000000000007</c:v>
                </c:pt>
                <c:pt idx="39">
                  <c:v>39</c:v>
                </c:pt>
                <c:pt idx="40">
                  <c:v>40</c:v>
                </c:pt>
                <c:pt idx="41">
                  <c:v>40.999999999999993</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71.000000000000014</c:v>
                </c:pt>
                <c:pt idx="72">
                  <c:v>72</c:v>
                </c:pt>
                <c:pt idx="73">
                  <c:v>73</c:v>
                </c:pt>
                <c:pt idx="74">
                  <c:v>74</c:v>
                </c:pt>
                <c:pt idx="75">
                  <c:v>75</c:v>
                </c:pt>
                <c:pt idx="76">
                  <c:v>76.000000000000014</c:v>
                </c:pt>
                <c:pt idx="77">
                  <c:v>77</c:v>
                </c:pt>
                <c:pt idx="78">
                  <c:v>78</c:v>
                </c:pt>
                <c:pt idx="79">
                  <c:v>79</c:v>
                </c:pt>
                <c:pt idx="80">
                  <c:v>80</c:v>
                </c:pt>
                <c:pt idx="81">
                  <c:v>81.000000000000014</c:v>
                </c:pt>
                <c:pt idx="82">
                  <c:v>81.999999999999986</c:v>
                </c:pt>
                <c:pt idx="83">
                  <c:v>83</c:v>
                </c:pt>
                <c:pt idx="84">
                  <c:v>84</c:v>
                </c:pt>
                <c:pt idx="85">
                  <c:v>85</c:v>
                </c:pt>
                <c:pt idx="86">
                  <c:v>86</c:v>
                </c:pt>
                <c:pt idx="87">
                  <c:v>86.999999999999986</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13.497103245882563</c:v>
                </c:pt>
                <c:pt idx="2">
                  <c:v>26.994206491765127</c:v>
                </c:pt>
                <c:pt idx="3">
                  <c:v>40.491309737647697</c:v>
                </c:pt>
                <c:pt idx="4">
                  <c:v>53.988412983530253</c:v>
                </c:pt>
                <c:pt idx="5">
                  <c:v>67.485516229412823</c:v>
                </c:pt>
                <c:pt idx="6">
                  <c:v>80.982619475295394</c:v>
                </c:pt>
                <c:pt idx="7">
                  <c:v>94.479722721177964</c:v>
                </c:pt>
                <c:pt idx="8">
                  <c:v>107.97682596706051</c:v>
                </c:pt>
                <c:pt idx="9">
                  <c:v>121.47392921294306</c:v>
                </c:pt>
                <c:pt idx="10">
                  <c:v>134.97103245882565</c:v>
                </c:pt>
                <c:pt idx="11">
                  <c:v>148.4681357047082</c:v>
                </c:pt>
                <c:pt idx="12">
                  <c:v>161.96523895059079</c:v>
                </c:pt>
                <c:pt idx="13">
                  <c:v>175.46234219647332</c:v>
                </c:pt>
                <c:pt idx="14">
                  <c:v>188.95944544235593</c:v>
                </c:pt>
                <c:pt idx="15">
                  <c:v>202.45654868823843</c:v>
                </c:pt>
                <c:pt idx="16">
                  <c:v>215.95365193412101</c:v>
                </c:pt>
                <c:pt idx="17">
                  <c:v>229.45075518000363</c:v>
                </c:pt>
                <c:pt idx="18">
                  <c:v>242.94785842588612</c:v>
                </c:pt>
                <c:pt idx="19">
                  <c:v>256.44496167176874</c:v>
                </c:pt>
                <c:pt idx="20">
                  <c:v>269.94206491765129</c:v>
                </c:pt>
                <c:pt idx="21">
                  <c:v>283.43916816353385</c:v>
                </c:pt>
                <c:pt idx="22">
                  <c:v>296.93627140941641</c:v>
                </c:pt>
                <c:pt idx="23">
                  <c:v>310.43337465529896</c:v>
                </c:pt>
                <c:pt idx="24">
                  <c:v>323.93047790118158</c:v>
                </c:pt>
                <c:pt idx="25">
                  <c:v>337.42758114706413</c:v>
                </c:pt>
                <c:pt idx="26">
                  <c:v>350</c:v>
                </c:pt>
                <c:pt idx="27">
                  <c:v>350</c:v>
                </c:pt>
                <c:pt idx="28">
                  <c:v>350</c:v>
                </c:pt>
                <c:pt idx="29">
                  <c:v>350</c:v>
                </c:pt>
                <c:pt idx="30">
                  <c:v>350</c:v>
                </c:pt>
                <c:pt idx="31">
                  <c:v>350</c:v>
                </c:pt>
                <c:pt idx="32">
                  <c:v>350</c:v>
                </c:pt>
                <c:pt idx="33">
                  <c:v>350</c:v>
                </c:pt>
                <c:pt idx="34">
                  <c:v>350</c:v>
                </c:pt>
                <c:pt idx="35">
                  <c:v>350</c:v>
                </c:pt>
                <c:pt idx="36">
                  <c:v>350</c:v>
                </c:pt>
                <c:pt idx="37">
                  <c:v>349.24761364916196</c:v>
                </c:pt>
                <c:pt idx="38">
                  <c:v>340.0568869741839</c:v>
                </c:pt>
                <c:pt idx="39">
                  <c:v>331.33747961587153</c:v>
                </c:pt>
                <c:pt idx="40">
                  <c:v>323.05404262547478</c:v>
                </c:pt>
                <c:pt idx="41">
                  <c:v>315.17467573217056</c:v>
                </c:pt>
                <c:pt idx="42">
                  <c:v>307.67051678616644</c:v>
                </c:pt>
                <c:pt idx="43">
                  <c:v>300.51538848881376</c:v>
                </c:pt>
                <c:pt idx="44">
                  <c:v>293.68549329588615</c:v>
                </c:pt>
                <c:pt idx="45">
                  <c:v>287.15914900042208</c:v>
                </c:pt>
                <c:pt idx="46">
                  <c:v>280.91655880476071</c:v>
                </c:pt>
                <c:pt idx="47">
                  <c:v>274.93961074508496</c:v>
                </c:pt>
                <c:pt idx="48">
                  <c:v>269.2117021878957</c:v>
                </c:pt>
                <c:pt idx="49">
                  <c:v>263.71758581671412</c:v>
                </c:pt>
                <c:pt idx="50">
                  <c:v>258.44323410037975</c:v>
                </c:pt>
                <c:pt idx="51">
                  <c:v>253.37571970625467</c:v>
                </c:pt>
                <c:pt idx="52">
                  <c:v>248.50310971190373</c:v>
                </c:pt>
                <c:pt idx="53">
                  <c:v>243.81437179281119</c:v>
                </c:pt>
                <c:pt idx="54">
                  <c:v>239.29929083368492</c:v>
                </c:pt>
                <c:pt idx="55">
                  <c:v>234.94839463670894</c:v>
                </c:pt>
                <c:pt idx="56">
                  <c:v>230.75288758962478</c:v>
                </c:pt>
                <c:pt idx="57">
                  <c:v>226.70459131612265</c:v>
                </c:pt>
                <c:pt idx="58">
                  <c:v>222.79589146584473</c:v>
                </c:pt>
                <c:pt idx="59">
                  <c:v>219.01968991557615</c:v>
                </c:pt>
                <c:pt idx="60">
                  <c:v>215.36936175031653</c:v>
                </c:pt>
                <c:pt idx="61">
                  <c:v>211.83871647572118</c:v>
                </c:pt>
                <c:pt idx="62">
                  <c:v>208.42196298417733</c:v>
                </c:pt>
                <c:pt idx="63">
                  <c:v>205.11367785744432</c:v>
                </c:pt>
                <c:pt idx="64">
                  <c:v>201.90877664092173</c:v>
                </c:pt>
                <c:pt idx="65">
                  <c:v>198.80248776952291</c:v>
                </c:pt>
                <c:pt idx="66">
                  <c:v>195.79032886392412</c:v>
                </c:pt>
                <c:pt idx="67">
                  <c:v>192.86808514953719</c:v>
                </c:pt>
                <c:pt idx="68">
                  <c:v>190.03178977969108</c:v>
                </c:pt>
                <c:pt idx="69">
                  <c:v>187.27770586984047</c:v>
                </c:pt>
                <c:pt idx="70">
                  <c:v>184.60231007169992</c:v>
                </c:pt>
                <c:pt idx="71">
                  <c:v>182.00227753547875</c:v>
                </c:pt>
                <c:pt idx="72">
                  <c:v>179.4744681252638</c:v>
                </c:pt>
                <c:pt idx="73">
                  <c:v>177.01591376738347</c:v>
                </c:pt>
                <c:pt idx="74">
                  <c:v>174.62380682458098</c:v>
                </c:pt>
                <c:pt idx="75">
                  <c:v>172.29548940025325</c:v>
                </c:pt>
                <c:pt idx="76">
                  <c:v>170.02844348709195</c:v>
                </c:pt>
                <c:pt idx="77">
                  <c:v>167.82028188336352</c:v>
                </c:pt>
                <c:pt idx="78">
                  <c:v>165.66873980793576</c:v>
                </c:pt>
                <c:pt idx="79">
                  <c:v>163.57166715213907</c:v>
                </c:pt>
                <c:pt idx="80">
                  <c:v>161.52702131273739</c:v>
                </c:pt>
                <c:pt idx="81">
                  <c:v>159.53286055578997</c:v>
                </c:pt>
                <c:pt idx="82">
                  <c:v>157.58733786608528</c:v>
                </c:pt>
                <c:pt idx="83">
                  <c:v>155.6886952411927</c:v>
                </c:pt>
                <c:pt idx="84">
                  <c:v>153.83525839308322</c:v>
                </c:pt>
                <c:pt idx="85">
                  <c:v>152.02543182375285</c:v>
                </c:pt>
                <c:pt idx="86">
                  <c:v>150.25769424440688</c:v>
                </c:pt>
                <c:pt idx="87">
                  <c:v>148.53059431056315</c:v>
                </c:pt>
                <c:pt idx="88">
                  <c:v>146.84274664794307</c:v>
                </c:pt>
                <c:pt idx="89">
                  <c:v>145.19282814628082</c:v>
                </c:pt>
                <c:pt idx="90">
                  <c:v>143.57957450021104</c:v>
                </c:pt>
                <c:pt idx="91">
                  <c:v>142.00177697823068</c:v>
                </c:pt>
                <c:pt idx="92">
                  <c:v>140.45827940238036</c:v>
                </c:pt>
                <c:pt idx="93">
                  <c:v>138.94797532278486</c:v>
                </c:pt>
                <c:pt idx="94">
                  <c:v>137.46980537254248</c:v>
                </c:pt>
                <c:pt idx="95">
                  <c:v>136.02275478967357</c:v>
                </c:pt>
                <c:pt idx="96">
                  <c:v>134.60585109394785</c:v>
                </c:pt>
                <c:pt idx="97">
                  <c:v>133.21816190741225</c:v>
                </c:pt>
                <c:pt idx="98">
                  <c:v>131.85879290835706</c:v>
                </c:pt>
                <c:pt idx="99">
                  <c:v>130.52688590928273</c:v>
                </c:pt>
                <c:pt idx="100">
                  <c:v>129.22161705018988</c:v>
                </c:pt>
              </c:numCache>
            </c:numRef>
          </c:val>
          <c:smooth val="0"/>
        </c:ser>
        <c:ser>
          <c:idx val="11"/>
          <c:order val="8"/>
          <c:tx>
            <c:v>VIN-max</c:v>
          </c:tx>
          <c:spPr>
            <a:ln>
              <a:solidFill>
                <a:srgbClr val="FF0000"/>
              </a:solidFill>
              <a:prstDash val="solid"/>
            </a:ln>
          </c:spPr>
          <c:marker>
            <c:symbol val="none"/>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19.000000000000004</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38.000000000000007</c:v>
                </c:pt>
                <c:pt idx="39">
                  <c:v>39</c:v>
                </c:pt>
                <c:pt idx="40">
                  <c:v>40</c:v>
                </c:pt>
                <c:pt idx="41">
                  <c:v>40.999999999999993</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71.000000000000014</c:v>
                </c:pt>
                <c:pt idx="72">
                  <c:v>72</c:v>
                </c:pt>
                <c:pt idx="73">
                  <c:v>73</c:v>
                </c:pt>
                <c:pt idx="74">
                  <c:v>74</c:v>
                </c:pt>
                <c:pt idx="75">
                  <c:v>75</c:v>
                </c:pt>
                <c:pt idx="76">
                  <c:v>76.000000000000014</c:v>
                </c:pt>
                <c:pt idx="77">
                  <c:v>77</c:v>
                </c:pt>
                <c:pt idx="78">
                  <c:v>78</c:v>
                </c:pt>
                <c:pt idx="79">
                  <c:v>79</c:v>
                </c:pt>
                <c:pt idx="80">
                  <c:v>80</c:v>
                </c:pt>
                <c:pt idx="81">
                  <c:v>81.000000000000014</c:v>
                </c:pt>
                <c:pt idx="82">
                  <c:v>81.999999999999986</c:v>
                </c:pt>
                <c:pt idx="83">
                  <c:v>83</c:v>
                </c:pt>
                <c:pt idx="84">
                  <c:v>84</c:v>
                </c:pt>
                <c:pt idx="85">
                  <c:v>85</c:v>
                </c:pt>
                <c:pt idx="86">
                  <c:v>86</c:v>
                </c:pt>
                <c:pt idx="87">
                  <c:v>86.999999999999986</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13.497103245882563</c:v>
                </c:pt>
                <c:pt idx="2">
                  <c:v>26.994206491765127</c:v>
                </c:pt>
                <c:pt idx="3">
                  <c:v>40.491309737647697</c:v>
                </c:pt>
                <c:pt idx="4">
                  <c:v>53.988412983530253</c:v>
                </c:pt>
                <c:pt idx="5">
                  <c:v>67.485516229412823</c:v>
                </c:pt>
                <c:pt idx="6">
                  <c:v>80.982619475295394</c:v>
                </c:pt>
                <c:pt idx="7">
                  <c:v>94.479722721177964</c:v>
                </c:pt>
                <c:pt idx="8">
                  <c:v>107.97682596706051</c:v>
                </c:pt>
                <c:pt idx="9">
                  <c:v>121.47392921294306</c:v>
                </c:pt>
                <c:pt idx="10">
                  <c:v>134.97103245882565</c:v>
                </c:pt>
                <c:pt idx="11">
                  <c:v>148.4681357047082</c:v>
                </c:pt>
                <c:pt idx="12">
                  <c:v>161.96523895059079</c:v>
                </c:pt>
                <c:pt idx="13">
                  <c:v>175.46234219647332</c:v>
                </c:pt>
                <c:pt idx="14">
                  <c:v>188.95944544235593</c:v>
                </c:pt>
                <c:pt idx="15">
                  <c:v>202.45654868823843</c:v>
                </c:pt>
                <c:pt idx="16">
                  <c:v>215.95365193412101</c:v>
                </c:pt>
                <c:pt idx="17">
                  <c:v>229.45075518000363</c:v>
                </c:pt>
                <c:pt idx="18">
                  <c:v>242.94785842588612</c:v>
                </c:pt>
                <c:pt idx="19">
                  <c:v>256.44496167176874</c:v>
                </c:pt>
                <c:pt idx="20">
                  <c:v>269.94206491765129</c:v>
                </c:pt>
                <c:pt idx="21">
                  <c:v>283.43916816353385</c:v>
                </c:pt>
                <c:pt idx="22">
                  <c:v>296.93627140941641</c:v>
                </c:pt>
                <c:pt idx="23">
                  <c:v>310.43337465529896</c:v>
                </c:pt>
                <c:pt idx="24">
                  <c:v>323.93047790118158</c:v>
                </c:pt>
                <c:pt idx="25">
                  <c:v>337.42758114706413</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344.44659246828502</c:v>
                </c:pt>
                <c:pt idx="51">
                  <c:v>337.69273771400492</c:v>
                </c:pt>
                <c:pt idx="52">
                  <c:v>331.19864660412026</c:v>
                </c:pt>
                <c:pt idx="53">
                  <c:v>324.94961553611802</c:v>
                </c:pt>
                <c:pt idx="54">
                  <c:v>318.93203006322688</c:v>
                </c:pt>
                <c:pt idx="55">
                  <c:v>313.13326588025916</c:v>
                </c:pt>
                <c:pt idx="56">
                  <c:v>307.54160041811167</c:v>
                </c:pt>
                <c:pt idx="57">
                  <c:v>302.1461337441097</c:v>
                </c:pt>
                <c:pt idx="58">
                  <c:v>296.93671764507337</c:v>
                </c:pt>
                <c:pt idx="59">
                  <c:v>291.90389192227548</c:v>
                </c:pt>
                <c:pt idx="60">
                  <c:v>287.03882705690427</c:v>
                </c:pt>
                <c:pt idx="61">
                  <c:v>282.33327251498775</c:v>
                </c:pt>
                <c:pt idx="62">
                  <c:v>277.77951005506861</c:v>
                </c:pt>
                <c:pt idx="63">
                  <c:v>273.37031148276594</c:v>
                </c:pt>
                <c:pt idx="64">
                  <c:v>269.09890036584767</c:v>
                </c:pt>
                <c:pt idx="65">
                  <c:v>264.95891728329616</c:v>
                </c:pt>
                <c:pt idx="66">
                  <c:v>260.94438823354926</c:v>
                </c:pt>
                <c:pt idx="67">
                  <c:v>257.04969587185451</c:v>
                </c:pt>
                <c:pt idx="68">
                  <c:v>253.26955328550372</c:v>
                </c:pt>
                <c:pt idx="69">
                  <c:v>249.59898004948198</c:v>
                </c:pt>
                <c:pt idx="70">
                  <c:v>246.03328033448938</c:v>
                </c:pt>
                <c:pt idx="71">
                  <c:v>242.56802286498956</c:v>
                </c:pt>
                <c:pt idx="72">
                  <c:v>239.19902254742018</c:v>
                </c:pt>
                <c:pt idx="73">
                  <c:v>235.92232360841447</c:v>
                </c:pt>
                <c:pt idx="74">
                  <c:v>232.73418410019266</c:v>
                </c:pt>
                <c:pt idx="75">
                  <c:v>229.63106164552332</c:v>
                </c:pt>
                <c:pt idx="76">
                  <c:v>226.60960030808229</c:v>
                </c:pt>
                <c:pt idx="77">
                  <c:v>223.66661848589936</c:v>
                </c:pt>
                <c:pt idx="78">
                  <c:v>220.79909773608014</c:v>
                </c:pt>
                <c:pt idx="79">
                  <c:v>218.00417244828165</c:v>
                </c:pt>
                <c:pt idx="80">
                  <c:v>215.27912029267819</c:v>
                </c:pt>
                <c:pt idx="81">
                  <c:v>212.6213533754846</c:v>
                </c:pt>
                <c:pt idx="82">
                  <c:v>210.02841004163724</c:v>
                </c:pt>
                <c:pt idx="83">
                  <c:v>207.4979472700513</c:v>
                </c:pt>
                <c:pt idx="84">
                  <c:v>205.02773361207446</c:v>
                </c:pt>
                <c:pt idx="85">
                  <c:v>202.61564262840301</c:v>
                </c:pt>
                <c:pt idx="86">
                  <c:v>200.25964678388669</c:v>
                </c:pt>
                <c:pt idx="87">
                  <c:v>197.95781176338224</c:v>
                </c:pt>
                <c:pt idx="88">
                  <c:v>195.708291175162</c:v>
                </c:pt>
                <c:pt idx="89">
                  <c:v>193.50932161139613</c:v>
                </c:pt>
                <c:pt idx="90">
                  <c:v>191.35921803793613</c:v>
                </c:pt>
                <c:pt idx="91">
                  <c:v>189.25636948806874</c:v>
                </c:pt>
                <c:pt idx="92">
                  <c:v>187.19923503711146</c:v>
                </c:pt>
                <c:pt idx="93">
                  <c:v>185.18634003671241</c:v>
                </c:pt>
                <c:pt idx="94">
                  <c:v>183.21627258951338</c:v>
                </c:pt>
                <c:pt idx="95">
                  <c:v>181.28768024646584</c:v>
                </c:pt>
                <c:pt idx="96">
                  <c:v>179.39926691056513</c:v>
                </c:pt>
                <c:pt idx="97">
                  <c:v>177.54978993210571</c:v>
                </c:pt>
                <c:pt idx="98">
                  <c:v>175.73805738177813</c:v>
                </c:pt>
                <c:pt idx="99">
                  <c:v>173.96292548903287</c:v>
                </c:pt>
                <c:pt idx="100">
                  <c:v>172.22329623414251</c:v>
                </c:pt>
              </c:numCache>
            </c:numRef>
          </c:val>
          <c:smooth val="0"/>
        </c:ser>
        <c:ser>
          <c:idx val="12"/>
          <c:order val="9"/>
          <c:spPr>
            <a:ln>
              <a:noFill/>
            </a:ln>
          </c:spPr>
          <c:marker>
            <c:symbol val="none"/>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19.000000000000004</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38.000000000000007</c:v>
                </c:pt>
                <c:pt idx="39">
                  <c:v>39</c:v>
                </c:pt>
                <c:pt idx="40">
                  <c:v>40</c:v>
                </c:pt>
                <c:pt idx="41">
                  <c:v>40.999999999999993</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71.000000000000014</c:v>
                </c:pt>
                <c:pt idx="72">
                  <c:v>72</c:v>
                </c:pt>
                <c:pt idx="73">
                  <c:v>73</c:v>
                </c:pt>
                <c:pt idx="74">
                  <c:v>74</c:v>
                </c:pt>
                <c:pt idx="75">
                  <c:v>75</c:v>
                </c:pt>
                <c:pt idx="76">
                  <c:v>76.000000000000014</c:v>
                </c:pt>
                <c:pt idx="77">
                  <c:v>77</c:v>
                </c:pt>
                <c:pt idx="78">
                  <c:v>78</c:v>
                </c:pt>
                <c:pt idx="79">
                  <c:v>79</c:v>
                </c:pt>
                <c:pt idx="80">
                  <c:v>80</c:v>
                </c:pt>
                <c:pt idx="81">
                  <c:v>81.000000000000014</c:v>
                </c:pt>
                <c:pt idx="82">
                  <c:v>81.999999999999986</c:v>
                </c:pt>
                <c:pt idx="83">
                  <c:v>83</c:v>
                </c:pt>
                <c:pt idx="84">
                  <c:v>84</c:v>
                </c:pt>
                <c:pt idx="85">
                  <c:v>85</c:v>
                </c:pt>
                <c:pt idx="86">
                  <c:v>86</c:v>
                </c:pt>
                <c:pt idx="87">
                  <c:v>86.999999999999986</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Dual'!$CD$110:$CD$210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103.81741568073944</c:v>
                </c:pt>
                <c:pt idx="98">
                  <c:v>-50</c:v>
                </c:pt>
                <c:pt idx="99">
                  <c:v>-50</c:v>
                </c:pt>
                <c:pt idx="100">
                  <c:v>-50</c:v>
                </c:pt>
              </c:numCache>
            </c:numRef>
          </c:val>
          <c:smooth val="0"/>
        </c:ser>
        <c:ser>
          <c:idx val="13"/>
          <c:order val="10"/>
          <c:spPr>
            <a:ln>
              <a:noFill/>
            </a:ln>
          </c:spPr>
          <c:marker>
            <c:symbol val="none"/>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19.000000000000004</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38.000000000000007</c:v>
                </c:pt>
                <c:pt idx="39">
                  <c:v>39</c:v>
                </c:pt>
                <c:pt idx="40">
                  <c:v>40</c:v>
                </c:pt>
                <c:pt idx="41">
                  <c:v>40.999999999999993</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71.000000000000014</c:v>
                </c:pt>
                <c:pt idx="72">
                  <c:v>72</c:v>
                </c:pt>
                <c:pt idx="73">
                  <c:v>73</c:v>
                </c:pt>
                <c:pt idx="74">
                  <c:v>74</c:v>
                </c:pt>
                <c:pt idx="75">
                  <c:v>75</c:v>
                </c:pt>
                <c:pt idx="76">
                  <c:v>76.000000000000014</c:v>
                </c:pt>
                <c:pt idx="77">
                  <c:v>77</c:v>
                </c:pt>
                <c:pt idx="78">
                  <c:v>78</c:v>
                </c:pt>
                <c:pt idx="79">
                  <c:v>79</c:v>
                </c:pt>
                <c:pt idx="80">
                  <c:v>80</c:v>
                </c:pt>
                <c:pt idx="81">
                  <c:v>81.000000000000014</c:v>
                </c:pt>
                <c:pt idx="82">
                  <c:v>81.999999999999986</c:v>
                </c:pt>
                <c:pt idx="83">
                  <c:v>83</c:v>
                </c:pt>
                <c:pt idx="84">
                  <c:v>84</c:v>
                </c:pt>
                <c:pt idx="85">
                  <c:v>85</c:v>
                </c:pt>
                <c:pt idx="86">
                  <c:v>86</c:v>
                </c:pt>
                <c:pt idx="87">
                  <c:v>86.999999999999986</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Dual'!$CD$5:$CD$105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14"/>
          <c:order val="11"/>
          <c:spPr>
            <a:ln>
              <a:noFill/>
            </a:ln>
          </c:spPr>
          <c:marker>
            <c:symbol val="none"/>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19.000000000000004</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38.000000000000007</c:v>
                </c:pt>
                <c:pt idx="39">
                  <c:v>39</c:v>
                </c:pt>
                <c:pt idx="40">
                  <c:v>40</c:v>
                </c:pt>
                <c:pt idx="41">
                  <c:v>40.999999999999993</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71.000000000000014</c:v>
                </c:pt>
                <c:pt idx="72">
                  <c:v>72</c:v>
                </c:pt>
                <c:pt idx="73">
                  <c:v>73</c:v>
                </c:pt>
                <c:pt idx="74">
                  <c:v>74</c:v>
                </c:pt>
                <c:pt idx="75">
                  <c:v>75</c:v>
                </c:pt>
                <c:pt idx="76">
                  <c:v>76.000000000000014</c:v>
                </c:pt>
                <c:pt idx="77">
                  <c:v>77</c:v>
                </c:pt>
                <c:pt idx="78">
                  <c:v>78</c:v>
                </c:pt>
                <c:pt idx="79">
                  <c:v>79</c:v>
                </c:pt>
                <c:pt idx="80">
                  <c:v>80</c:v>
                </c:pt>
                <c:pt idx="81">
                  <c:v>81.000000000000014</c:v>
                </c:pt>
                <c:pt idx="82">
                  <c:v>81.999999999999986</c:v>
                </c:pt>
                <c:pt idx="83">
                  <c:v>83</c:v>
                </c:pt>
                <c:pt idx="84">
                  <c:v>84</c:v>
                </c:pt>
                <c:pt idx="85">
                  <c:v>85</c:v>
                </c:pt>
                <c:pt idx="86">
                  <c:v>86</c:v>
                </c:pt>
                <c:pt idx="87">
                  <c:v>86.999999999999986</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Dual'!$CD$216:$CD$316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1"/>
          <c:order val="0"/>
          <c:tx>
            <c:v>VIN-min</c:v>
          </c:tx>
          <c:spPr>
            <a:ln>
              <a:solidFill>
                <a:srgbClr val="00B050"/>
              </a:solidFill>
              <a:prstDash val="sysDash"/>
            </a:ln>
          </c:spPr>
          <c:marker>
            <c:symbol val="none"/>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19.000000000000004</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38.000000000000007</c:v>
                </c:pt>
                <c:pt idx="39">
                  <c:v>39</c:v>
                </c:pt>
                <c:pt idx="40">
                  <c:v>40</c:v>
                </c:pt>
                <c:pt idx="41">
                  <c:v>40.999999999999993</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71.000000000000014</c:v>
                </c:pt>
                <c:pt idx="72">
                  <c:v>72</c:v>
                </c:pt>
                <c:pt idx="73">
                  <c:v>73</c:v>
                </c:pt>
                <c:pt idx="74">
                  <c:v>74</c:v>
                </c:pt>
                <c:pt idx="75">
                  <c:v>75</c:v>
                </c:pt>
                <c:pt idx="76">
                  <c:v>76.000000000000014</c:v>
                </c:pt>
                <c:pt idx="77">
                  <c:v>77</c:v>
                </c:pt>
                <c:pt idx="78">
                  <c:v>78</c:v>
                </c:pt>
                <c:pt idx="79">
                  <c:v>79</c:v>
                </c:pt>
                <c:pt idx="80">
                  <c:v>80</c:v>
                </c:pt>
                <c:pt idx="81">
                  <c:v>81.000000000000014</c:v>
                </c:pt>
                <c:pt idx="82">
                  <c:v>81.999999999999986</c:v>
                </c:pt>
                <c:pt idx="83">
                  <c:v>83</c:v>
                </c:pt>
                <c:pt idx="84">
                  <c:v>84</c:v>
                </c:pt>
                <c:pt idx="85">
                  <c:v>85</c:v>
                </c:pt>
                <c:pt idx="86">
                  <c:v>86</c:v>
                </c:pt>
                <c:pt idx="87">
                  <c:v>86.999999999999986</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13.497103245882563</c:v>
                </c:pt>
                <c:pt idx="2">
                  <c:v>26.994206491765127</c:v>
                </c:pt>
                <c:pt idx="3">
                  <c:v>40.491309737647697</c:v>
                </c:pt>
                <c:pt idx="4">
                  <c:v>53.988412983530253</c:v>
                </c:pt>
                <c:pt idx="5">
                  <c:v>67.485516229412823</c:v>
                </c:pt>
                <c:pt idx="6">
                  <c:v>80.982619475295394</c:v>
                </c:pt>
                <c:pt idx="7">
                  <c:v>94.479722721177964</c:v>
                </c:pt>
                <c:pt idx="8">
                  <c:v>107.97682596706051</c:v>
                </c:pt>
                <c:pt idx="9">
                  <c:v>121.47392921294306</c:v>
                </c:pt>
                <c:pt idx="10">
                  <c:v>134.97103245882565</c:v>
                </c:pt>
                <c:pt idx="11">
                  <c:v>148.4681357047082</c:v>
                </c:pt>
                <c:pt idx="12">
                  <c:v>161.96523895059079</c:v>
                </c:pt>
                <c:pt idx="13">
                  <c:v>175.46234219647332</c:v>
                </c:pt>
                <c:pt idx="14">
                  <c:v>188.95944544235593</c:v>
                </c:pt>
                <c:pt idx="15">
                  <c:v>202.45654868823843</c:v>
                </c:pt>
                <c:pt idx="16">
                  <c:v>215.95365193412101</c:v>
                </c:pt>
                <c:pt idx="17">
                  <c:v>229.45075518000363</c:v>
                </c:pt>
                <c:pt idx="18">
                  <c:v>242.94785842588612</c:v>
                </c:pt>
                <c:pt idx="19">
                  <c:v>256.44496167176874</c:v>
                </c:pt>
                <c:pt idx="20">
                  <c:v>269.94206491765129</c:v>
                </c:pt>
                <c:pt idx="21">
                  <c:v>283.43916816353385</c:v>
                </c:pt>
                <c:pt idx="22">
                  <c:v>296.93627140941641</c:v>
                </c:pt>
                <c:pt idx="23">
                  <c:v>310.43337465529896</c:v>
                </c:pt>
                <c:pt idx="24">
                  <c:v>323.93047790118158</c:v>
                </c:pt>
                <c:pt idx="25">
                  <c:v>337.42758114706413</c:v>
                </c:pt>
                <c:pt idx="26">
                  <c:v>350</c:v>
                </c:pt>
                <c:pt idx="27">
                  <c:v>350</c:v>
                </c:pt>
                <c:pt idx="28">
                  <c:v>350</c:v>
                </c:pt>
                <c:pt idx="29">
                  <c:v>346.63271722205837</c:v>
                </c:pt>
                <c:pt idx="30">
                  <c:v>335.07829331465632</c:v>
                </c:pt>
                <c:pt idx="31">
                  <c:v>324.26931611095785</c:v>
                </c:pt>
                <c:pt idx="32">
                  <c:v>314.13589998249029</c:v>
                </c:pt>
                <c:pt idx="33">
                  <c:v>304.6166302860513</c:v>
                </c:pt>
                <c:pt idx="34">
                  <c:v>295.6573176305792</c:v>
                </c:pt>
                <c:pt idx="35">
                  <c:v>287.20996569827696</c:v>
                </c:pt>
                <c:pt idx="36">
                  <c:v>279.23191109554699</c:v>
                </c:pt>
                <c:pt idx="37">
                  <c:v>271.68510268755927</c:v>
                </c:pt>
                <c:pt idx="38">
                  <c:v>264.5354947220971</c:v>
                </c:pt>
                <c:pt idx="39">
                  <c:v>257.75253331896641</c:v>
                </c:pt>
                <c:pt idx="40">
                  <c:v>251.3087199859923</c:v>
                </c:pt>
                <c:pt idx="41">
                  <c:v>245.17923901072416</c:v>
                </c:pt>
                <c:pt idx="42">
                  <c:v>239.34163808189746</c:v>
                </c:pt>
                <c:pt idx="43">
                  <c:v>233.77555347534164</c:v>
                </c:pt>
                <c:pt idx="44">
                  <c:v>228.46247271453842</c:v>
                </c:pt>
                <c:pt idx="45">
                  <c:v>223.38552887643755</c:v>
                </c:pt>
                <c:pt idx="46">
                  <c:v>218.52932172694977</c:v>
                </c:pt>
                <c:pt idx="47">
                  <c:v>213.87976169020615</c:v>
                </c:pt>
                <c:pt idx="48">
                  <c:v>209.42393332166023</c:v>
                </c:pt>
                <c:pt idx="49">
                  <c:v>205.14997549876924</c:v>
                </c:pt>
                <c:pt idx="50">
                  <c:v>201.0469759887938</c:v>
                </c:pt>
                <c:pt idx="51">
                  <c:v>197.10487842038606</c:v>
                </c:pt>
                <c:pt idx="52">
                  <c:v>193.31439998922485</c:v>
                </c:pt>
                <c:pt idx="53">
                  <c:v>189.66695847999415</c:v>
                </c:pt>
                <c:pt idx="54">
                  <c:v>186.1546073970313</c:v>
                </c:pt>
                <c:pt idx="55">
                  <c:v>182.76997817163073</c:v>
                </c:pt>
                <c:pt idx="56">
                  <c:v>179.50622856142303</c:v>
                </c:pt>
                <c:pt idx="57">
                  <c:v>176.35699648139808</c:v>
                </c:pt>
                <c:pt idx="58">
                  <c:v>173.31635861102919</c:v>
                </c:pt>
                <c:pt idx="59">
                  <c:v>170.37879321084228</c:v>
                </c:pt>
                <c:pt idx="60">
                  <c:v>167.53914665732816</c:v>
                </c:pt>
                <c:pt idx="61">
                  <c:v>164.79260326950316</c:v>
                </c:pt>
                <c:pt idx="62">
                  <c:v>162.13465805547892</c:v>
                </c:pt>
                <c:pt idx="63">
                  <c:v>159.56109205459828</c:v>
                </c:pt>
                <c:pt idx="64">
                  <c:v>157.06794999124514</c:v>
                </c:pt>
                <c:pt idx="65">
                  <c:v>154.65151999137984</c:v>
                </c:pt>
                <c:pt idx="66">
                  <c:v>152.30831514302565</c:v>
                </c:pt>
                <c:pt idx="67">
                  <c:v>150.03505670805512</c:v>
                </c:pt>
                <c:pt idx="68">
                  <c:v>147.8286588152896</c:v>
                </c:pt>
                <c:pt idx="69">
                  <c:v>145.68621448463321</c:v>
                </c:pt>
                <c:pt idx="70">
                  <c:v>143.60498284913848</c:v>
                </c:pt>
                <c:pt idx="71">
                  <c:v>141.58237745689709</c:v>
                </c:pt>
                <c:pt idx="72">
                  <c:v>139.6159555477735</c:v>
                </c:pt>
                <c:pt idx="73">
                  <c:v>137.70340821150262</c:v>
                </c:pt>
                <c:pt idx="74">
                  <c:v>135.84255134377963</c:v>
                </c:pt>
                <c:pt idx="75">
                  <c:v>134.03131732586252</c:v>
                </c:pt>
                <c:pt idx="76">
                  <c:v>132.26774736104855</c:v>
                </c:pt>
                <c:pt idx="77">
                  <c:v>130.54998440830767</c:v>
                </c:pt>
                <c:pt idx="78">
                  <c:v>128.87626665948321</c:v>
                </c:pt>
                <c:pt idx="79">
                  <c:v>127.24492151189482</c:v>
                </c:pt>
                <c:pt idx="80">
                  <c:v>125.65435999299615</c:v>
                </c:pt>
                <c:pt idx="81">
                  <c:v>124.10307159802083</c:v>
                </c:pt>
                <c:pt idx="82">
                  <c:v>122.58961950536208</c:v>
                </c:pt>
                <c:pt idx="83">
                  <c:v>121.11263613782762</c:v>
                </c:pt>
                <c:pt idx="84">
                  <c:v>119.67081904094873</c:v>
                </c:pt>
                <c:pt idx="85">
                  <c:v>118.26292705223166</c:v>
                </c:pt>
                <c:pt idx="86">
                  <c:v>116.88777673767082</c:v>
                </c:pt>
                <c:pt idx="87">
                  <c:v>115.54423907401942</c:v>
                </c:pt>
                <c:pt idx="88">
                  <c:v>114.23123635726921</c:v>
                </c:pt>
                <c:pt idx="89">
                  <c:v>112.94773931954708</c:v>
                </c:pt>
                <c:pt idx="90">
                  <c:v>111.69276443821877</c:v>
                </c:pt>
                <c:pt idx="91">
                  <c:v>110.46537142241418</c:v>
                </c:pt>
                <c:pt idx="92">
                  <c:v>109.26466086347489</c:v>
                </c:pt>
                <c:pt idx="93">
                  <c:v>108.08977203698592</c:v>
                </c:pt>
                <c:pt idx="94">
                  <c:v>106.93988084510308</c:v>
                </c:pt>
                <c:pt idx="95">
                  <c:v>105.81419788883886</c:v>
                </c:pt>
                <c:pt idx="96">
                  <c:v>104.71196666083011</c:v>
                </c:pt>
                <c:pt idx="97">
                  <c:v>103.81741568073944</c:v>
                </c:pt>
                <c:pt idx="98">
                  <c:v>103.50856460941682</c:v>
                </c:pt>
                <c:pt idx="99">
                  <c:v>103.20161093218742</c:v>
                </c:pt>
                <c:pt idx="100">
                  <c:v>102.89653721793259</c:v>
                </c:pt>
              </c:numCache>
            </c:numRef>
          </c:val>
          <c:smooth val="0"/>
        </c:ser>
        <c:ser>
          <c:idx val="0"/>
          <c:order val="1"/>
          <c:tx>
            <c:v>VIN-nom</c:v>
          </c:tx>
          <c:spPr>
            <a:ln w="28575">
              <a:solidFill>
                <a:srgbClr val="0000FF"/>
              </a:solidFill>
              <a:prstDash val="lgDash"/>
            </a:ln>
          </c:spPr>
          <c:marker>
            <c:symbol val="none"/>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19.000000000000004</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38.000000000000007</c:v>
                </c:pt>
                <c:pt idx="39">
                  <c:v>39</c:v>
                </c:pt>
                <c:pt idx="40">
                  <c:v>40</c:v>
                </c:pt>
                <c:pt idx="41">
                  <c:v>40.999999999999993</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71.000000000000014</c:v>
                </c:pt>
                <c:pt idx="72">
                  <c:v>72</c:v>
                </c:pt>
                <c:pt idx="73">
                  <c:v>73</c:v>
                </c:pt>
                <c:pt idx="74">
                  <c:v>74</c:v>
                </c:pt>
                <c:pt idx="75">
                  <c:v>75</c:v>
                </c:pt>
                <c:pt idx="76">
                  <c:v>76.000000000000014</c:v>
                </c:pt>
                <c:pt idx="77">
                  <c:v>77</c:v>
                </c:pt>
                <c:pt idx="78">
                  <c:v>78</c:v>
                </c:pt>
                <c:pt idx="79">
                  <c:v>79</c:v>
                </c:pt>
                <c:pt idx="80">
                  <c:v>80</c:v>
                </c:pt>
                <c:pt idx="81">
                  <c:v>81.000000000000014</c:v>
                </c:pt>
                <c:pt idx="82">
                  <c:v>81.999999999999986</c:v>
                </c:pt>
                <c:pt idx="83">
                  <c:v>83</c:v>
                </c:pt>
                <c:pt idx="84">
                  <c:v>84</c:v>
                </c:pt>
                <c:pt idx="85">
                  <c:v>85</c:v>
                </c:pt>
                <c:pt idx="86">
                  <c:v>86</c:v>
                </c:pt>
                <c:pt idx="87">
                  <c:v>86.999999999999986</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13.497103245882563</c:v>
                </c:pt>
                <c:pt idx="2">
                  <c:v>26.994206491765127</c:v>
                </c:pt>
                <c:pt idx="3">
                  <c:v>40.491309737647697</c:v>
                </c:pt>
                <c:pt idx="4">
                  <c:v>53.988412983530253</c:v>
                </c:pt>
                <c:pt idx="5">
                  <c:v>67.485516229412823</c:v>
                </c:pt>
                <c:pt idx="6">
                  <c:v>80.982619475295394</c:v>
                </c:pt>
                <c:pt idx="7">
                  <c:v>94.479722721177964</c:v>
                </c:pt>
                <c:pt idx="8">
                  <c:v>107.97682596706051</c:v>
                </c:pt>
                <c:pt idx="9">
                  <c:v>121.47392921294306</c:v>
                </c:pt>
                <c:pt idx="10">
                  <c:v>134.97103245882565</c:v>
                </c:pt>
                <c:pt idx="11">
                  <c:v>148.4681357047082</c:v>
                </c:pt>
                <c:pt idx="12">
                  <c:v>161.96523895059079</c:v>
                </c:pt>
                <c:pt idx="13">
                  <c:v>175.46234219647332</c:v>
                </c:pt>
                <c:pt idx="14">
                  <c:v>188.95944544235593</c:v>
                </c:pt>
                <c:pt idx="15">
                  <c:v>202.45654868823843</c:v>
                </c:pt>
                <c:pt idx="16">
                  <c:v>215.95365193412101</c:v>
                </c:pt>
                <c:pt idx="17">
                  <c:v>229.45075518000363</c:v>
                </c:pt>
                <c:pt idx="18">
                  <c:v>242.94785842588612</c:v>
                </c:pt>
                <c:pt idx="19">
                  <c:v>256.44496167176874</c:v>
                </c:pt>
                <c:pt idx="20">
                  <c:v>269.94206491765129</c:v>
                </c:pt>
                <c:pt idx="21">
                  <c:v>283.43916816353385</c:v>
                </c:pt>
                <c:pt idx="22">
                  <c:v>296.93627140941641</c:v>
                </c:pt>
                <c:pt idx="23">
                  <c:v>310.43337465529896</c:v>
                </c:pt>
                <c:pt idx="24">
                  <c:v>323.93047790118158</c:v>
                </c:pt>
                <c:pt idx="25">
                  <c:v>337.42758114706413</c:v>
                </c:pt>
                <c:pt idx="26">
                  <c:v>350</c:v>
                </c:pt>
                <c:pt idx="27">
                  <c:v>350</c:v>
                </c:pt>
                <c:pt idx="28">
                  <c:v>350</c:v>
                </c:pt>
                <c:pt idx="29">
                  <c:v>350</c:v>
                </c:pt>
                <c:pt idx="30">
                  <c:v>350</c:v>
                </c:pt>
                <c:pt idx="31">
                  <c:v>350</c:v>
                </c:pt>
                <c:pt idx="32">
                  <c:v>350</c:v>
                </c:pt>
                <c:pt idx="33">
                  <c:v>350</c:v>
                </c:pt>
                <c:pt idx="34">
                  <c:v>350</c:v>
                </c:pt>
                <c:pt idx="35">
                  <c:v>350</c:v>
                </c:pt>
                <c:pt idx="36">
                  <c:v>350</c:v>
                </c:pt>
                <c:pt idx="37">
                  <c:v>349.24761364916196</c:v>
                </c:pt>
                <c:pt idx="38">
                  <c:v>340.0568869741839</c:v>
                </c:pt>
                <c:pt idx="39">
                  <c:v>331.33747961587153</c:v>
                </c:pt>
                <c:pt idx="40">
                  <c:v>323.05404262547478</c:v>
                </c:pt>
                <c:pt idx="41">
                  <c:v>315.17467573217056</c:v>
                </c:pt>
                <c:pt idx="42">
                  <c:v>307.67051678616644</c:v>
                </c:pt>
                <c:pt idx="43">
                  <c:v>300.51538848881376</c:v>
                </c:pt>
                <c:pt idx="44">
                  <c:v>293.68549329588615</c:v>
                </c:pt>
                <c:pt idx="45">
                  <c:v>287.15914900042208</c:v>
                </c:pt>
                <c:pt idx="46">
                  <c:v>280.91655880476071</c:v>
                </c:pt>
                <c:pt idx="47">
                  <c:v>274.93961074508496</c:v>
                </c:pt>
                <c:pt idx="48">
                  <c:v>269.2117021878957</c:v>
                </c:pt>
                <c:pt idx="49">
                  <c:v>263.71758581671412</c:v>
                </c:pt>
                <c:pt idx="50">
                  <c:v>258.44323410037975</c:v>
                </c:pt>
                <c:pt idx="51">
                  <c:v>253.37571970625467</c:v>
                </c:pt>
                <c:pt idx="52">
                  <c:v>248.50310971190373</c:v>
                </c:pt>
                <c:pt idx="53">
                  <c:v>243.81437179281119</c:v>
                </c:pt>
                <c:pt idx="54">
                  <c:v>239.29929083368492</c:v>
                </c:pt>
                <c:pt idx="55">
                  <c:v>234.94839463670894</c:v>
                </c:pt>
                <c:pt idx="56">
                  <c:v>230.75288758962478</c:v>
                </c:pt>
                <c:pt idx="57">
                  <c:v>226.70459131612265</c:v>
                </c:pt>
                <c:pt idx="58">
                  <c:v>222.79589146584473</c:v>
                </c:pt>
                <c:pt idx="59">
                  <c:v>219.01968991557615</c:v>
                </c:pt>
                <c:pt idx="60">
                  <c:v>215.36936175031653</c:v>
                </c:pt>
                <c:pt idx="61">
                  <c:v>211.83871647572118</c:v>
                </c:pt>
                <c:pt idx="62">
                  <c:v>208.42196298417733</c:v>
                </c:pt>
                <c:pt idx="63">
                  <c:v>205.11367785744432</c:v>
                </c:pt>
                <c:pt idx="64">
                  <c:v>201.90877664092173</c:v>
                </c:pt>
                <c:pt idx="65">
                  <c:v>198.80248776952291</c:v>
                </c:pt>
                <c:pt idx="66">
                  <c:v>195.79032886392412</c:v>
                </c:pt>
                <c:pt idx="67">
                  <c:v>192.86808514953719</c:v>
                </c:pt>
                <c:pt idx="68">
                  <c:v>190.03178977969108</c:v>
                </c:pt>
                <c:pt idx="69">
                  <c:v>187.27770586984047</c:v>
                </c:pt>
                <c:pt idx="70">
                  <c:v>184.60231007169992</c:v>
                </c:pt>
                <c:pt idx="71">
                  <c:v>182.00227753547875</c:v>
                </c:pt>
                <c:pt idx="72">
                  <c:v>179.4744681252638</c:v>
                </c:pt>
                <c:pt idx="73">
                  <c:v>177.01591376738347</c:v>
                </c:pt>
                <c:pt idx="74">
                  <c:v>174.62380682458098</c:v>
                </c:pt>
                <c:pt idx="75">
                  <c:v>172.29548940025325</c:v>
                </c:pt>
                <c:pt idx="76">
                  <c:v>170.02844348709195</c:v>
                </c:pt>
                <c:pt idx="77">
                  <c:v>167.82028188336352</c:v>
                </c:pt>
                <c:pt idx="78">
                  <c:v>165.66873980793576</c:v>
                </c:pt>
                <c:pt idx="79">
                  <c:v>163.57166715213907</c:v>
                </c:pt>
                <c:pt idx="80">
                  <c:v>161.52702131273739</c:v>
                </c:pt>
                <c:pt idx="81">
                  <c:v>159.53286055578997</c:v>
                </c:pt>
                <c:pt idx="82">
                  <c:v>157.58733786608528</c:v>
                </c:pt>
                <c:pt idx="83">
                  <c:v>155.6886952411927</c:v>
                </c:pt>
                <c:pt idx="84">
                  <c:v>153.83525839308322</c:v>
                </c:pt>
                <c:pt idx="85">
                  <c:v>152.02543182375285</c:v>
                </c:pt>
                <c:pt idx="86">
                  <c:v>150.25769424440688</c:v>
                </c:pt>
                <c:pt idx="87">
                  <c:v>148.53059431056315</c:v>
                </c:pt>
                <c:pt idx="88">
                  <c:v>146.84274664794307</c:v>
                </c:pt>
                <c:pt idx="89">
                  <c:v>145.19282814628082</c:v>
                </c:pt>
                <c:pt idx="90">
                  <c:v>143.57957450021104</c:v>
                </c:pt>
                <c:pt idx="91">
                  <c:v>142.00177697823068</c:v>
                </c:pt>
                <c:pt idx="92">
                  <c:v>140.45827940238036</c:v>
                </c:pt>
                <c:pt idx="93">
                  <c:v>138.94797532278486</c:v>
                </c:pt>
                <c:pt idx="94">
                  <c:v>137.46980537254248</c:v>
                </c:pt>
                <c:pt idx="95">
                  <c:v>136.02275478967357</c:v>
                </c:pt>
                <c:pt idx="96">
                  <c:v>134.60585109394785</c:v>
                </c:pt>
                <c:pt idx="97">
                  <c:v>133.21816190741225</c:v>
                </c:pt>
                <c:pt idx="98">
                  <c:v>131.85879290835706</c:v>
                </c:pt>
                <c:pt idx="99">
                  <c:v>130.52688590928273</c:v>
                </c:pt>
                <c:pt idx="100">
                  <c:v>129.22161705018988</c:v>
                </c:pt>
              </c:numCache>
            </c:numRef>
          </c:val>
          <c:smooth val="0"/>
        </c:ser>
        <c:ser>
          <c:idx val="2"/>
          <c:order val="2"/>
          <c:tx>
            <c:v>VIN-max</c:v>
          </c:tx>
          <c:spPr>
            <a:ln>
              <a:solidFill>
                <a:srgbClr val="FF0000"/>
              </a:solidFill>
              <a:prstDash val="solid"/>
            </a:ln>
          </c:spPr>
          <c:marker>
            <c:symbol val="none"/>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19.000000000000004</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38.000000000000007</c:v>
                </c:pt>
                <c:pt idx="39">
                  <c:v>39</c:v>
                </c:pt>
                <c:pt idx="40">
                  <c:v>40</c:v>
                </c:pt>
                <c:pt idx="41">
                  <c:v>40.999999999999993</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71.000000000000014</c:v>
                </c:pt>
                <c:pt idx="72">
                  <c:v>72</c:v>
                </c:pt>
                <c:pt idx="73">
                  <c:v>73</c:v>
                </c:pt>
                <c:pt idx="74">
                  <c:v>74</c:v>
                </c:pt>
                <c:pt idx="75">
                  <c:v>75</c:v>
                </c:pt>
                <c:pt idx="76">
                  <c:v>76.000000000000014</c:v>
                </c:pt>
                <c:pt idx="77">
                  <c:v>77</c:v>
                </c:pt>
                <c:pt idx="78">
                  <c:v>78</c:v>
                </c:pt>
                <c:pt idx="79">
                  <c:v>79</c:v>
                </c:pt>
                <c:pt idx="80">
                  <c:v>80</c:v>
                </c:pt>
                <c:pt idx="81">
                  <c:v>81.000000000000014</c:v>
                </c:pt>
                <c:pt idx="82">
                  <c:v>81.999999999999986</c:v>
                </c:pt>
                <c:pt idx="83">
                  <c:v>83</c:v>
                </c:pt>
                <c:pt idx="84">
                  <c:v>84</c:v>
                </c:pt>
                <c:pt idx="85">
                  <c:v>85</c:v>
                </c:pt>
                <c:pt idx="86">
                  <c:v>86</c:v>
                </c:pt>
                <c:pt idx="87">
                  <c:v>86.999999999999986</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13.497103245882563</c:v>
                </c:pt>
                <c:pt idx="2">
                  <c:v>26.994206491765127</c:v>
                </c:pt>
                <c:pt idx="3">
                  <c:v>40.491309737647697</c:v>
                </c:pt>
                <c:pt idx="4">
                  <c:v>53.988412983530253</c:v>
                </c:pt>
                <c:pt idx="5">
                  <c:v>67.485516229412823</c:v>
                </c:pt>
                <c:pt idx="6">
                  <c:v>80.982619475295394</c:v>
                </c:pt>
                <c:pt idx="7">
                  <c:v>94.479722721177964</c:v>
                </c:pt>
                <c:pt idx="8">
                  <c:v>107.97682596706051</c:v>
                </c:pt>
                <c:pt idx="9">
                  <c:v>121.47392921294306</c:v>
                </c:pt>
                <c:pt idx="10">
                  <c:v>134.97103245882565</c:v>
                </c:pt>
                <c:pt idx="11">
                  <c:v>148.4681357047082</c:v>
                </c:pt>
                <c:pt idx="12">
                  <c:v>161.96523895059079</c:v>
                </c:pt>
                <c:pt idx="13">
                  <c:v>175.46234219647332</c:v>
                </c:pt>
                <c:pt idx="14">
                  <c:v>188.95944544235593</c:v>
                </c:pt>
                <c:pt idx="15">
                  <c:v>202.45654868823843</c:v>
                </c:pt>
                <c:pt idx="16">
                  <c:v>215.95365193412101</c:v>
                </c:pt>
                <c:pt idx="17">
                  <c:v>229.45075518000363</c:v>
                </c:pt>
                <c:pt idx="18">
                  <c:v>242.94785842588612</c:v>
                </c:pt>
                <c:pt idx="19">
                  <c:v>256.44496167176874</c:v>
                </c:pt>
                <c:pt idx="20">
                  <c:v>269.94206491765129</c:v>
                </c:pt>
                <c:pt idx="21">
                  <c:v>283.43916816353385</c:v>
                </c:pt>
                <c:pt idx="22">
                  <c:v>296.93627140941641</c:v>
                </c:pt>
                <c:pt idx="23">
                  <c:v>310.43337465529896</c:v>
                </c:pt>
                <c:pt idx="24">
                  <c:v>323.93047790118158</c:v>
                </c:pt>
                <c:pt idx="25">
                  <c:v>337.42758114706413</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344.44659246828502</c:v>
                </c:pt>
                <c:pt idx="51">
                  <c:v>337.69273771400492</c:v>
                </c:pt>
                <c:pt idx="52">
                  <c:v>331.19864660412026</c:v>
                </c:pt>
                <c:pt idx="53">
                  <c:v>324.94961553611802</c:v>
                </c:pt>
                <c:pt idx="54">
                  <c:v>318.93203006322688</c:v>
                </c:pt>
                <c:pt idx="55">
                  <c:v>313.13326588025916</c:v>
                </c:pt>
                <c:pt idx="56">
                  <c:v>307.54160041811167</c:v>
                </c:pt>
                <c:pt idx="57">
                  <c:v>302.1461337441097</c:v>
                </c:pt>
                <c:pt idx="58">
                  <c:v>296.93671764507337</c:v>
                </c:pt>
                <c:pt idx="59">
                  <c:v>291.90389192227548</c:v>
                </c:pt>
                <c:pt idx="60">
                  <c:v>287.03882705690427</c:v>
                </c:pt>
                <c:pt idx="61">
                  <c:v>282.33327251498775</c:v>
                </c:pt>
                <c:pt idx="62">
                  <c:v>277.77951005506861</c:v>
                </c:pt>
                <c:pt idx="63">
                  <c:v>273.37031148276594</c:v>
                </c:pt>
                <c:pt idx="64">
                  <c:v>269.09890036584767</c:v>
                </c:pt>
                <c:pt idx="65">
                  <c:v>264.95891728329616</c:v>
                </c:pt>
                <c:pt idx="66">
                  <c:v>260.94438823354926</c:v>
                </c:pt>
                <c:pt idx="67">
                  <c:v>257.04969587185451</c:v>
                </c:pt>
                <c:pt idx="68">
                  <c:v>253.26955328550372</c:v>
                </c:pt>
                <c:pt idx="69">
                  <c:v>249.59898004948198</c:v>
                </c:pt>
                <c:pt idx="70">
                  <c:v>246.03328033448938</c:v>
                </c:pt>
                <c:pt idx="71">
                  <c:v>242.56802286498956</c:v>
                </c:pt>
                <c:pt idx="72">
                  <c:v>239.19902254742018</c:v>
                </c:pt>
                <c:pt idx="73">
                  <c:v>235.92232360841447</c:v>
                </c:pt>
                <c:pt idx="74">
                  <c:v>232.73418410019266</c:v>
                </c:pt>
                <c:pt idx="75">
                  <c:v>229.63106164552332</c:v>
                </c:pt>
                <c:pt idx="76">
                  <c:v>226.60960030808229</c:v>
                </c:pt>
                <c:pt idx="77">
                  <c:v>223.66661848589936</c:v>
                </c:pt>
                <c:pt idx="78">
                  <c:v>220.79909773608014</c:v>
                </c:pt>
                <c:pt idx="79">
                  <c:v>218.00417244828165</c:v>
                </c:pt>
                <c:pt idx="80">
                  <c:v>215.27912029267819</c:v>
                </c:pt>
                <c:pt idx="81">
                  <c:v>212.6213533754846</c:v>
                </c:pt>
                <c:pt idx="82">
                  <c:v>210.02841004163724</c:v>
                </c:pt>
                <c:pt idx="83">
                  <c:v>207.4979472700513</c:v>
                </c:pt>
                <c:pt idx="84">
                  <c:v>205.02773361207446</c:v>
                </c:pt>
                <c:pt idx="85">
                  <c:v>202.61564262840301</c:v>
                </c:pt>
                <c:pt idx="86">
                  <c:v>200.25964678388669</c:v>
                </c:pt>
                <c:pt idx="87">
                  <c:v>197.95781176338224</c:v>
                </c:pt>
                <c:pt idx="88">
                  <c:v>195.708291175162</c:v>
                </c:pt>
                <c:pt idx="89">
                  <c:v>193.50932161139613</c:v>
                </c:pt>
                <c:pt idx="90">
                  <c:v>191.35921803793613</c:v>
                </c:pt>
                <c:pt idx="91">
                  <c:v>189.25636948806874</c:v>
                </c:pt>
                <c:pt idx="92">
                  <c:v>187.19923503711146</c:v>
                </c:pt>
                <c:pt idx="93">
                  <c:v>185.18634003671241</c:v>
                </c:pt>
                <c:pt idx="94">
                  <c:v>183.21627258951338</c:v>
                </c:pt>
                <c:pt idx="95">
                  <c:v>181.28768024646584</c:v>
                </c:pt>
                <c:pt idx="96">
                  <c:v>179.39926691056513</c:v>
                </c:pt>
                <c:pt idx="97">
                  <c:v>177.54978993210571</c:v>
                </c:pt>
                <c:pt idx="98">
                  <c:v>175.73805738177813</c:v>
                </c:pt>
                <c:pt idx="99">
                  <c:v>173.96292548903287</c:v>
                </c:pt>
                <c:pt idx="100">
                  <c:v>172.22329623414251</c:v>
                </c:pt>
              </c:numCache>
            </c:numRef>
          </c:val>
          <c:smooth val="0"/>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19.000000000000004</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38.000000000000007</c:v>
                </c:pt>
                <c:pt idx="39">
                  <c:v>39</c:v>
                </c:pt>
                <c:pt idx="40">
                  <c:v>40</c:v>
                </c:pt>
                <c:pt idx="41">
                  <c:v>40.999999999999993</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71.000000000000014</c:v>
                </c:pt>
                <c:pt idx="72">
                  <c:v>72</c:v>
                </c:pt>
                <c:pt idx="73">
                  <c:v>73</c:v>
                </c:pt>
                <c:pt idx="74">
                  <c:v>74</c:v>
                </c:pt>
                <c:pt idx="75">
                  <c:v>75</c:v>
                </c:pt>
                <c:pt idx="76">
                  <c:v>76.000000000000014</c:v>
                </c:pt>
                <c:pt idx="77">
                  <c:v>77</c:v>
                </c:pt>
                <c:pt idx="78">
                  <c:v>78</c:v>
                </c:pt>
                <c:pt idx="79">
                  <c:v>79</c:v>
                </c:pt>
                <c:pt idx="80">
                  <c:v>80</c:v>
                </c:pt>
                <c:pt idx="81">
                  <c:v>81.000000000000014</c:v>
                </c:pt>
                <c:pt idx="82">
                  <c:v>81.999999999999986</c:v>
                </c:pt>
                <c:pt idx="83">
                  <c:v>83</c:v>
                </c:pt>
                <c:pt idx="84">
                  <c:v>84</c:v>
                </c:pt>
                <c:pt idx="85">
                  <c:v>85</c:v>
                </c:pt>
                <c:pt idx="86">
                  <c:v>86</c:v>
                </c:pt>
                <c:pt idx="87">
                  <c:v>86.999999999999986</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Dual'!$CD$110:$CD$210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103.81741568073944</c:v>
                </c:pt>
                <c:pt idx="98">
                  <c:v>-50</c:v>
                </c:pt>
                <c:pt idx="99">
                  <c:v>-50</c:v>
                </c:pt>
                <c:pt idx="100">
                  <c:v>-50</c:v>
                </c:pt>
              </c:numCache>
            </c:numRef>
          </c:val>
          <c:smooth val="0"/>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19.000000000000004</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38.000000000000007</c:v>
                </c:pt>
                <c:pt idx="39">
                  <c:v>39</c:v>
                </c:pt>
                <c:pt idx="40">
                  <c:v>40</c:v>
                </c:pt>
                <c:pt idx="41">
                  <c:v>40.999999999999993</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71.000000000000014</c:v>
                </c:pt>
                <c:pt idx="72">
                  <c:v>72</c:v>
                </c:pt>
                <c:pt idx="73">
                  <c:v>73</c:v>
                </c:pt>
                <c:pt idx="74">
                  <c:v>74</c:v>
                </c:pt>
                <c:pt idx="75">
                  <c:v>75</c:v>
                </c:pt>
                <c:pt idx="76">
                  <c:v>76.000000000000014</c:v>
                </c:pt>
                <c:pt idx="77">
                  <c:v>77</c:v>
                </c:pt>
                <c:pt idx="78">
                  <c:v>78</c:v>
                </c:pt>
                <c:pt idx="79">
                  <c:v>79</c:v>
                </c:pt>
                <c:pt idx="80">
                  <c:v>80</c:v>
                </c:pt>
                <c:pt idx="81">
                  <c:v>81.000000000000014</c:v>
                </c:pt>
                <c:pt idx="82">
                  <c:v>81.999999999999986</c:v>
                </c:pt>
                <c:pt idx="83">
                  <c:v>83</c:v>
                </c:pt>
                <c:pt idx="84">
                  <c:v>84</c:v>
                </c:pt>
                <c:pt idx="85">
                  <c:v>85</c:v>
                </c:pt>
                <c:pt idx="86">
                  <c:v>86</c:v>
                </c:pt>
                <c:pt idx="87">
                  <c:v>86.999999999999986</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Dual'!$CD$5:$CD$105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19.000000000000004</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38.000000000000007</c:v>
                </c:pt>
                <c:pt idx="39">
                  <c:v>39</c:v>
                </c:pt>
                <c:pt idx="40">
                  <c:v>40</c:v>
                </c:pt>
                <c:pt idx="41">
                  <c:v>40.999999999999993</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71.000000000000014</c:v>
                </c:pt>
                <c:pt idx="72">
                  <c:v>72</c:v>
                </c:pt>
                <c:pt idx="73">
                  <c:v>73</c:v>
                </c:pt>
                <c:pt idx="74">
                  <c:v>74</c:v>
                </c:pt>
                <c:pt idx="75">
                  <c:v>75</c:v>
                </c:pt>
                <c:pt idx="76">
                  <c:v>76.000000000000014</c:v>
                </c:pt>
                <c:pt idx="77">
                  <c:v>77</c:v>
                </c:pt>
                <c:pt idx="78">
                  <c:v>78</c:v>
                </c:pt>
                <c:pt idx="79">
                  <c:v>79</c:v>
                </c:pt>
                <c:pt idx="80">
                  <c:v>80</c:v>
                </c:pt>
                <c:pt idx="81">
                  <c:v>81.000000000000014</c:v>
                </c:pt>
                <c:pt idx="82">
                  <c:v>81.999999999999986</c:v>
                </c:pt>
                <c:pt idx="83">
                  <c:v>83</c:v>
                </c:pt>
                <c:pt idx="84">
                  <c:v>84</c:v>
                </c:pt>
                <c:pt idx="85">
                  <c:v>85</c:v>
                </c:pt>
                <c:pt idx="86">
                  <c:v>86</c:v>
                </c:pt>
                <c:pt idx="87">
                  <c:v>86.999999999999986</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Dual'!$CD$216:$CD$316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dLbls>
          <c:showLegendKey val="0"/>
          <c:showVal val="0"/>
          <c:showCatName val="0"/>
          <c:showSerName val="0"/>
          <c:showPercent val="0"/>
          <c:showBubbleSize val="0"/>
        </c:dLbls>
        <c:marker val="1"/>
        <c:smooth val="0"/>
        <c:axId val="201698304"/>
        <c:axId val="201717248"/>
      </c:lineChart>
      <c:catAx>
        <c:axId val="201698304"/>
        <c:scaling>
          <c:orientation val="minMax"/>
        </c:scaling>
        <c:delete val="0"/>
        <c:axPos val="b"/>
        <c:majorGridlines>
          <c:spPr>
            <a:ln w="15875">
              <a:solidFill>
                <a:srgbClr val="969696"/>
              </a:solidFill>
              <a:prstDash val="sysDash"/>
            </a:ln>
          </c:spPr>
        </c:majorGridlines>
        <c:title>
          <c:tx>
            <c:rich>
              <a:bodyPr/>
              <a:lstStyle/>
              <a:p>
                <a:pPr>
                  <a:defRPr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sz="1400" b="1" i="0" u="none" strike="noStrike" baseline="0">
                <a:solidFill>
                  <a:schemeClr val="tx1"/>
                </a:solidFill>
                <a:latin typeface="Arial" pitchFamily="34" charset="0"/>
                <a:ea typeface="Calibri"/>
                <a:cs typeface="Arial" pitchFamily="34" charset="0"/>
              </a:defRPr>
            </a:pPr>
            <a:endParaRPr lang="en-US"/>
          </a:p>
        </c:txPr>
        <c:crossAx val="201717248"/>
        <c:crosses val="autoZero"/>
        <c:auto val="1"/>
        <c:lblAlgn val="ctr"/>
        <c:lblOffset val="100"/>
        <c:tickLblSkip val="20"/>
        <c:tickMarkSkip val="10"/>
        <c:noMultiLvlLbl val="0"/>
      </c:catAx>
      <c:valAx>
        <c:axId val="201717248"/>
        <c:scaling>
          <c:orientation val="minMax"/>
          <c:max val="400"/>
          <c:min val="0"/>
        </c:scaling>
        <c:delete val="0"/>
        <c:axPos val="l"/>
        <c:majorGridlines>
          <c:spPr>
            <a:ln w="15875">
              <a:solidFill>
                <a:srgbClr val="808080"/>
              </a:solidFill>
              <a:prstDash val="solid"/>
            </a:ln>
          </c:spPr>
        </c:majorGridlines>
        <c:title>
          <c:tx>
            <c:rich>
              <a:bodyPr/>
              <a:lstStyle/>
              <a:p>
                <a:pPr>
                  <a:defRPr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sz="1600" b="1" i="0" u="none" strike="noStrike" baseline="0">
                <a:solidFill>
                  <a:schemeClr val="tx1"/>
                </a:solidFill>
                <a:latin typeface="Arial" pitchFamily="34" charset="0"/>
                <a:ea typeface="Calibri"/>
                <a:cs typeface="Arial" pitchFamily="34" charset="0"/>
              </a:defRPr>
            </a:pPr>
            <a:endParaRPr lang="en-US"/>
          </a:p>
        </c:txPr>
        <c:crossAx val="201698304"/>
        <c:crossesAt val="0"/>
        <c:crossBetween val="between"/>
        <c:majorUnit val="50"/>
        <c:minorUnit val="25"/>
      </c:valAx>
      <c:spPr>
        <a:noFill/>
        <a:ln w="25400">
          <a:noFill/>
        </a:ln>
      </c:spPr>
    </c:plotArea>
    <c:legend>
      <c:legendPos val="t"/>
      <c:legendEntry>
        <c:idx val="9"/>
        <c:delete val="1"/>
      </c:legendEntry>
      <c:legendEntry>
        <c:idx val="10"/>
        <c:delete val="1"/>
      </c:legendEntry>
      <c:legendEntry>
        <c:idx val="11"/>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en-US"/>
              <a:t>FSW</a:t>
            </a:r>
            <a:r>
              <a:rPr lang="en-US" baseline="0"/>
              <a:t> vs. VIN</a:t>
            </a:r>
            <a:endParaRPr lang="en-US"/>
          </a:p>
        </c:rich>
      </c:tx>
      <c:layout>
        <c:manualLayout>
          <c:xMode val="edge"/>
          <c:yMode val="edge"/>
          <c:x val="0.46949559660480134"/>
          <c:y val="4.3950758924335628E-2"/>
        </c:manualLayout>
      </c:layout>
      <c:overlay val="0"/>
      <c:spPr>
        <a:noFill/>
        <a:ln w="25400">
          <a:noFill/>
        </a:ln>
      </c:spPr>
    </c:title>
    <c:autoTitleDeleted val="0"/>
    <c:plotArea>
      <c:layout>
        <c:manualLayout>
          <c:layoutTarget val="inner"/>
          <c:xMode val="edge"/>
          <c:yMode val="edge"/>
          <c:x val="0.11549893842887474"/>
          <c:y val="0.12692138023914851"/>
          <c:w val="0.81825902335456679"/>
          <c:h val="0.73598262282121851"/>
        </c:manualLayout>
      </c:layout>
      <c:scatterChart>
        <c:scatterStyle val="lineMarker"/>
        <c:varyColors val="0"/>
        <c:ser>
          <c:idx val="2"/>
          <c:order val="0"/>
          <c:tx>
            <c:strRef>
              <c:f>'Fsw vs VIN'!$M$5</c:f>
              <c:strCache>
                <c:ptCount val="1"/>
                <c:pt idx="0">
                  <c:v>Fsw-BCM (kHz) at Iout-max</c:v>
                </c:pt>
              </c:strCache>
            </c:strRef>
          </c:tx>
          <c:spPr>
            <a:ln w="25400">
              <a:solidFill>
                <a:srgbClr val="000080"/>
              </a:solidFill>
              <a:prstDash val="solid"/>
            </a:ln>
          </c:spPr>
          <c:marker>
            <c:symbol val="none"/>
          </c:marker>
          <c:xVal>
            <c:numRef>
              <c:f>'Fsw vs VIN'!$D$6:$D$106</c:f>
              <c:numCache>
                <c:formatCode>0.00</c:formatCode>
                <c:ptCount val="101"/>
                <c:pt idx="0">
                  <c:v>10</c:v>
                </c:pt>
                <c:pt idx="1">
                  <c:v>10.050000000000001</c:v>
                </c:pt>
                <c:pt idx="2">
                  <c:v>10.1</c:v>
                </c:pt>
                <c:pt idx="3">
                  <c:v>10.15</c:v>
                </c:pt>
                <c:pt idx="4">
                  <c:v>10.199999999999999</c:v>
                </c:pt>
                <c:pt idx="5">
                  <c:v>10.25</c:v>
                </c:pt>
                <c:pt idx="6">
                  <c:v>10.3</c:v>
                </c:pt>
                <c:pt idx="7">
                  <c:v>10.35</c:v>
                </c:pt>
                <c:pt idx="8">
                  <c:v>10.4</c:v>
                </c:pt>
                <c:pt idx="9">
                  <c:v>10.45</c:v>
                </c:pt>
                <c:pt idx="10">
                  <c:v>10.5</c:v>
                </c:pt>
                <c:pt idx="11">
                  <c:v>10.55</c:v>
                </c:pt>
                <c:pt idx="12">
                  <c:v>10.6</c:v>
                </c:pt>
                <c:pt idx="13">
                  <c:v>10.65</c:v>
                </c:pt>
                <c:pt idx="14">
                  <c:v>10.7</c:v>
                </c:pt>
                <c:pt idx="15">
                  <c:v>10.75</c:v>
                </c:pt>
                <c:pt idx="16">
                  <c:v>10.8</c:v>
                </c:pt>
                <c:pt idx="17">
                  <c:v>10.85</c:v>
                </c:pt>
                <c:pt idx="18">
                  <c:v>10.9</c:v>
                </c:pt>
                <c:pt idx="19">
                  <c:v>10.95</c:v>
                </c:pt>
                <c:pt idx="20">
                  <c:v>11</c:v>
                </c:pt>
                <c:pt idx="21">
                  <c:v>11.05</c:v>
                </c:pt>
                <c:pt idx="22">
                  <c:v>11.1</c:v>
                </c:pt>
                <c:pt idx="23">
                  <c:v>11.15</c:v>
                </c:pt>
                <c:pt idx="24">
                  <c:v>11.2</c:v>
                </c:pt>
                <c:pt idx="25">
                  <c:v>11.25</c:v>
                </c:pt>
                <c:pt idx="26">
                  <c:v>11.3</c:v>
                </c:pt>
                <c:pt idx="27">
                  <c:v>11.35</c:v>
                </c:pt>
                <c:pt idx="28">
                  <c:v>11.4</c:v>
                </c:pt>
                <c:pt idx="29">
                  <c:v>11.45</c:v>
                </c:pt>
                <c:pt idx="30">
                  <c:v>11.5</c:v>
                </c:pt>
                <c:pt idx="31">
                  <c:v>11.55</c:v>
                </c:pt>
                <c:pt idx="32">
                  <c:v>11.6</c:v>
                </c:pt>
                <c:pt idx="33">
                  <c:v>11.65</c:v>
                </c:pt>
                <c:pt idx="34">
                  <c:v>11.7</c:v>
                </c:pt>
                <c:pt idx="35">
                  <c:v>11.75</c:v>
                </c:pt>
                <c:pt idx="36">
                  <c:v>11.8</c:v>
                </c:pt>
                <c:pt idx="37">
                  <c:v>11.85</c:v>
                </c:pt>
                <c:pt idx="38">
                  <c:v>11.9</c:v>
                </c:pt>
                <c:pt idx="39">
                  <c:v>11.95</c:v>
                </c:pt>
                <c:pt idx="40">
                  <c:v>12</c:v>
                </c:pt>
                <c:pt idx="41">
                  <c:v>12.05</c:v>
                </c:pt>
                <c:pt idx="42">
                  <c:v>12.1</c:v>
                </c:pt>
                <c:pt idx="43">
                  <c:v>12.15</c:v>
                </c:pt>
                <c:pt idx="44">
                  <c:v>12.2</c:v>
                </c:pt>
                <c:pt idx="45">
                  <c:v>12.25</c:v>
                </c:pt>
                <c:pt idx="46">
                  <c:v>12.3</c:v>
                </c:pt>
                <c:pt idx="47">
                  <c:v>12.35</c:v>
                </c:pt>
                <c:pt idx="48">
                  <c:v>12.4</c:v>
                </c:pt>
                <c:pt idx="49">
                  <c:v>12.45</c:v>
                </c:pt>
                <c:pt idx="50">
                  <c:v>12.5</c:v>
                </c:pt>
                <c:pt idx="51">
                  <c:v>12.55</c:v>
                </c:pt>
                <c:pt idx="52">
                  <c:v>12.6</c:v>
                </c:pt>
                <c:pt idx="53">
                  <c:v>12.65</c:v>
                </c:pt>
                <c:pt idx="54">
                  <c:v>12.7</c:v>
                </c:pt>
                <c:pt idx="55">
                  <c:v>12.75</c:v>
                </c:pt>
                <c:pt idx="56">
                  <c:v>12.8</c:v>
                </c:pt>
                <c:pt idx="57">
                  <c:v>12.85</c:v>
                </c:pt>
                <c:pt idx="58">
                  <c:v>12.9</c:v>
                </c:pt>
                <c:pt idx="59">
                  <c:v>12.95</c:v>
                </c:pt>
                <c:pt idx="60">
                  <c:v>13</c:v>
                </c:pt>
                <c:pt idx="61">
                  <c:v>13.05</c:v>
                </c:pt>
                <c:pt idx="62">
                  <c:v>13.1</c:v>
                </c:pt>
                <c:pt idx="63">
                  <c:v>13.15</c:v>
                </c:pt>
                <c:pt idx="64">
                  <c:v>13.2</c:v>
                </c:pt>
                <c:pt idx="65">
                  <c:v>13.25</c:v>
                </c:pt>
                <c:pt idx="66">
                  <c:v>13.3</c:v>
                </c:pt>
                <c:pt idx="67">
                  <c:v>13.35</c:v>
                </c:pt>
                <c:pt idx="68">
                  <c:v>13.4</c:v>
                </c:pt>
                <c:pt idx="69">
                  <c:v>13.45</c:v>
                </c:pt>
                <c:pt idx="70">
                  <c:v>13.5</c:v>
                </c:pt>
                <c:pt idx="71">
                  <c:v>13.55</c:v>
                </c:pt>
                <c:pt idx="72">
                  <c:v>13.6</c:v>
                </c:pt>
                <c:pt idx="73">
                  <c:v>13.65</c:v>
                </c:pt>
                <c:pt idx="74">
                  <c:v>13.7</c:v>
                </c:pt>
                <c:pt idx="75">
                  <c:v>13.75</c:v>
                </c:pt>
                <c:pt idx="76">
                  <c:v>13.8</c:v>
                </c:pt>
                <c:pt idx="77">
                  <c:v>13.85</c:v>
                </c:pt>
                <c:pt idx="78">
                  <c:v>13.9</c:v>
                </c:pt>
                <c:pt idx="79">
                  <c:v>13.95</c:v>
                </c:pt>
                <c:pt idx="80">
                  <c:v>14</c:v>
                </c:pt>
                <c:pt idx="81">
                  <c:v>14.05</c:v>
                </c:pt>
                <c:pt idx="82">
                  <c:v>14.1</c:v>
                </c:pt>
                <c:pt idx="83">
                  <c:v>14.149999999999999</c:v>
                </c:pt>
                <c:pt idx="84">
                  <c:v>14.2</c:v>
                </c:pt>
                <c:pt idx="85">
                  <c:v>14.25</c:v>
                </c:pt>
                <c:pt idx="86">
                  <c:v>14.3</c:v>
                </c:pt>
                <c:pt idx="87">
                  <c:v>14.35</c:v>
                </c:pt>
                <c:pt idx="88">
                  <c:v>14.4</c:v>
                </c:pt>
                <c:pt idx="89">
                  <c:v>14.45</c:v>
                </c:pt>
                <c:pt idx="90">
                  <c:v>14.5</c:v>
                </c:pt>
                <c:pt idx="91">
                  <c:v>14.55</c:v>
                </c:pt>
                <c:pt idx="92">
                  <c:v>14.600000000000001</c:v>
                </c:pt>
                <c:pt idx="93">
                  <c:v>14.65</c:v>
                </c:pt>
                <c:pt idx="94">
                  <c:v>14.7</c:v>
                </c:pt>
                <c:pt idx="95">
                  <c:v>14.75</c:v>
                </c:pt>
                <c:pt idx="96">
                  <c:v>14.8</c:v>
                </c:pt>
                <c:pt idx="97">
                  <c:v>14.85</c:v>
                </c:pt>
                <c:pt idx="98">
                  <c:v>14.9</c:v>
                </c:pt>
                <c:pt idx="99">
                  <c:v>14.95</c:v>
                </c:pt>
                <c:pt idx="100">
                  <c:v>15</c:v>
                </c:pt>
              </c:numCache>
            </c:numRef>
          </c:xVal>
          <c:yVal>
            <c:numRef>
              <c:f>'Fsw vs VIN'!$M$6:$M$106</c:f>
              <c:numCache>
                <c:formatCode>0.0</c:formatCode>
                <c:ptCount val="101"/>
                <c:pt idx="0">
                  <c:v>191.90847708021229</c:v>
                </c:pt>
                <c:pt idx="1">
                  <c:v>193.26766252990078</c:v>
                </c:pt>
                <c:pt idx="2">
                  <c:v>194.62766640740733</c:v>
                </c:pt>
                <c:pt idx="3">
                  <c:v>195.98846435174428</c:v>
                </c:pt>
                <c:pt idx="4">
                  <c:v>197.35003226388608</c:v>
                </c:pt>
                <c:pt idx="5">
                  <c:v>198.71234630400011</c:v>
                </c:pt>
                <c:pt idx="6">
                  <c:v>200.07538288870668</c:v>
                </c:pt>
                <c:pt idx="7">
                  <c:v>201.43911868837182</c:v>
                </c:pt>
                <c:pt idx="8">
                  <c:v>202.80353062443095</c:v>
                </c:pt>
                <c:pt idx="9">
                  <c:v>204.16859586674187</c:v>
                </c:pt>
                <c:pt idx="10">
                  <c:v>205.53429183096895</c:v>
                </c:pt>
                <c:pt idx="11">
                  <c:v>206.90059617599613</c:v>
                </c:pt>
                <c:pt idx="12">
                  <c:v>208.26748680137004</c:v>
                </c:pt>
                <c:pt idx="13">
                  <c:v>209.63494184477167</c:v>
                </c:pt>
                <c:pt idx="14">
                  <c:v>211.00293967951634</c:v>
                </c:pt>
                <c:pt idx="15">
                  <c:v>212.37145891208274</c:v>
                </c:pt>
                <c:pt idx="16">
                  <c:v>213.74047837966876</c:v>
                </c:pt>
                <c:pt idx="17">
                  <c:v>215.10997714777579</c:v>
                </c:pt>
                <c:pt idx="18">
                  <c:v>216.47993450782039</c:v>
                </c:pt>
                <c:pt idx="19">
                  <c:v>217.85032997477094</c:v>
                </c:pt>
                <c:pt idx="20">
                  <c:v>219.2211432848141</c:v>
                </c:pt>
                <c:pt idx="21">
                  <c:v>220.5923543930441</c:v>
                </c:pt>
                <c:pt idx="22">
                  <c:v>221.9639434711797</c:v>
                </c:pt>
                <c:pt idx="23">
                  <c:v>223.33589090530751</c:v>
                </c:pt>
                <c:pt idx="24">
                  <c:v>224.70817729364799</c:v>
                </c:pt>
                <c:pt idx="25">
                  <c:v>226.08078344434918</c:v>
                </c:pt>
                <c:pt idx="26">
                  <c:v>227.45369037330289</c:v>
                </c:pt>
                <c:pt idx="27">
                  <c:v>228.82687930198676</c:v>
                </c:pt>
                <c:pt idx="28">
                  <c:v>230.20033165532951</c:v>
                </c:pt>
                <c:pt idx="29">
                  <c:v>231.57402905960012</c:v>
                </c:pt>
                <c:pt idx="30">
                  <c:v>232.94795334032088</c:v>
                </c:pt>
                <c:pt idx="31">
                  <c:v>234.32208652020279</c:v>
                </c:pt>
                <c:pt idx="32">
                  <c:v>235.69641081710458</c:v>
                </c:pt>
                <c:pt idx="33">
                  <c:v>237.0709086420143</c:v>
                </c:pt>
                <c:pt idx="34">
                  <c:v>238.44556259705277</c:v>
                </c:pt>
                <c:pt idx="35">
                  <c:v>239.82035547349946</c:v>
                </c:pt>
                <c:pt idx="36">
                  <c:v>241.19527024984012</c:v>
                </c:pt>
                <c:pt idx="37">
                  <c:v>242.57029008983594</c:v>
                </c:pt>
                <c:pt idx="38">
                  <c:v>243.94539834061408</c:v>
                </c:pt>
                <c:pt idx="39">
                  <c:v>245.32057853077876</c:v>
                </c:pt>
                <c:pt idx="40">
                  <c:v>246.6958143685444</c:v>
                </c:pt>
                <c:pt idx="41">
                  <c:v>248.07108973988696</c:v>
                </c:pt>
                <c:pt idx="42">
                  <c:v>249.44638870671824</c:v>
                </c:pt>
                <c:pt idx="43">
                  <c:v>250.82169550507822</c:v>
                </c:pt>
                <c:pt idx="44">
                  <c:v>252.19699454334821</c:v>
                </c:pt>
                <c:pt idx="45">
                  <c:v>253.57227040048346</c:v>
                </c:pt>
                <c:pt idx="46">
                  <c:v>254.94750782426422</c:v>
                </c:pt>
                <c:pt idx="47">
                  <c:v>256.322691729567</c:v>
                </c:pt>
                <c:pt idx="48">
                  <c:v>257.69780719665454</c:v>
                </c:pt>
                <c:pt idx="49">
                  <c:v>259.07283946948331</c:v>
                </c:pt>
                <c:pt idx="50">
                  <c:v>260.44777395403128</c:v>
                </c:pt>
                <c:pt idx="51">
                  <c:v>261.82259621664201</c:v>
                </c:pt>
                <c:pt idx="52">
                  <c:v>263.19729198238747</c:v>
                </c:pt>
                <c:pt idx="53">
                  <c:v>264.57184713344998</c:v>
                </c:pt>
                <c:pt idx="54">
                  <c:v>265.94624770751875</c:v>
                </c:pt>
                <c:pt idx="55">
                  <c:v>267.32047989620702</c:v>
                </c:pt>
                <c:pt idx="56">
                  <c:v>268.69453004348344</c:v>
                </c:pt>
                <c:pt idx="57">
                  <c:v>270.06838464412272</c:v>
                </c:pt>
                <c:pt idx="58">
                  <c:v>271.44203034217179</c:v>
                </c:pt>
                <c:pt idx="59">
                  <c:v>272.81545392943218</c:v>
                </c:pt>
                <c:pt idx="60">
                  <c:v>274.18864234396068</c:v>
                </c:pt>
                <c:pt idx="61">
                  <c:v>275.5615826685833</c:v>
                </c:pt>
                <c:pt idx="62">
                  <c:v>276.93426212942728</c:v>
                </c:pt>
                <c:pt idx="63">
                  <c:v>278.30666809446922</c:v>
                </c:pt>
                <c:pt idx="64">
                  <c:v>279.67878807209615</c:v>
                </c:pt>
                <c:pt idx="65">
                  <c:v>281.05060970968538</c:v>
                </c:pt>
                <c:pt idx="66">
                  <c:v>282.42212079219723</c:v>
                </c:pt>
                <c:pt idx="67">
                  <c:v>283.79330924078323</c:v>
                </c:pt>
                <c:pt idx="68">
                  <c:v>285.16416311141035</c:v>
                </c:pt>
                <c:pt idx="69">
                  <c:v>286.53467059349828</c:v>
                </c:pt>
                <c:pt idx="70">
                  <c:v>287.90482000857304</c:v>
                </c:pt>
                <c:pt idx="71">
                  <c:v>289.27459980893298</c:v>
                </c:pt>
                <c:pt idx="72">
                  <c:v>290.64399857633055</c:v>
                </c:pt>
                <c:pt idx="73">
                  <c:v>292.01300502066761</c:v>
                </c:pt>
                <c:pt idx="74">
                  <c:v>293.38160797870432</c:v>
                </c:pt>
                <c:pt idx="75">
                  <c:v>294.74979641278225</c:v>
                </c:pt>
                <c:pt idx="76">
                  <c:v>296.11755940956039</c:v>
                </c:pt>
                <c:pt idx="77">
                  <c:v>297.48488617876495</c:v>
                </c:pt>
                <c:pt idx="78">
                  <c:v>298.85176605195323</c:v>
                </c:pt>
                <c:pt idx="79">
                  <c:v>300.21818848128851</c:v>
                </c:pt>
                <c:pt idx="80">
                  <c:v>301.58414303833001</c:v>
                </c:pt>
                <c:pt idx="81">
                  <c:v>302.94961941283452</c:v>
                </c:pt>
                <c:pt idx="82">
                  <c:v>304.31460741157065</c:v>
                </c:pt>
                <c:pt idx="83">
                  <c:v>305.67909695714593</c:v>
                </c:pt>
                <c:pt idx="84">
                  <c:v>307.04307808684672</c:v>
                </c:pt>
                <c:pt idx="85">
                  <c:v>308.40654095148898</c:v>
                </c:pt>
                <c:pt idx="86">
                  <c:v>309.76947581428226</c:v>
                </c:pt>
                <c:pt idx="87">
                  <c:v>311.13187304970529</c:v>
                </c:pt>
                <c:pt idx="88">
                  <c:v>312.49372314239349</c:v>
                </c:pt>
                <c:pt idx="89">
                  <c:v>313.85501668603786</c:v>
                </c:pt>
                <c:pt idx="90">
                  <c:v>315.21574438229578</c:v>
                </c:pt>
                <c:pt idx="91">
                  <c:v>316.57589703971229</c:v>
                </c:pt>
                <c:pt idx="92">
                  <c:v>317.93546557265449</c:v>
                </c:pt>
                <c:pt idx="93">
                  <c:v>319.29444100025495</c:v>
                </c:pt>
                <c:pt idx="94">
                  <c:v>320.65281444536771</c:v>
                </c:pt>
                <c:pt idx="95">
                  <c:v>322.01057713353447</c:v>
                </c:pt>
                <c:pt idx="96">
                  <c:v>323.36772039196177</c:v>
                </c:pt>
                <c:pt idx="97">
                  <c:v>324.72423564850777</c:v>
                </c:pt>
                <c:pt idx="98">
                  <c:v>326.08011443068261</c:v>
                </c:pt>
                <c:pt idx="99">
                  <c:v>327.43534836465494</c:v>
                </c:pt>
                <c:pt idx="100">
                  <c:v>328.78992917427212</c:v>
                </c:pt>
              </c:numCache>
            </c:numRef>
          </c:yVal>
          <c:smooth val="0"/>
        </c:ser>
        <c:dLbls>
          <c:showLegendKey val="0"/>
          <c:showVal val="0"/>
          <c:showCatName val="0"/>
          <c:showSerName val="0"/>
          <c:showPercent val="0"/>
          <c:showBubbleSize val="0"/>
        </c:dLbls>
        <c:axId val="201427968"/>
        <c:axId val="201446528"/>
      </c:scatterChart>
      <c:valAx>
        <c:axId val="201427968"/>
        <c:scaling>
          <c:orientation val="minMax"/>
        </c:scaling>
        <c:delete val="0"/>
        <c:axPos val="b"/>
        <c:majorGridlines/>
        <c:title>
          <c:tx>
            <c:rich>
              <a:bodyPr/>
              <a:lstStyle/>
              <a:p>
                <a:pPr>
                  <a:defRPr sz="1100" b="1" i="0" u="none" strike="noStrike" baseline="0">
                    <a:solidFill>
                      <a:srgbClr val="000000"/>
                    </a:solidFill>
                    <a:latin typeface="Arial"/>
                    <a:ea typeface="Arial"/>
                    <a:cs typeface="Arial"/>
                  </a:defRPr>
                </a:pPr>
                <a:r>
                  <a:rPr lang="en-US" sz="1100"/>
                  <a:t>VIN (V)</a:t>
                </a:r>
              </a:p>
            </c:rich>
          </c:tx>
          <c:layout>
            <c:manualLayout>
              <c:xMode val="edge"/>
              <c:yMode val="edge"/>
              <c:x val="0.48841805795509147"/>
              <c:y val="0.928122229770017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1" i="0" u="none" strike="noStrike" baseline="0">
                <a:solidFill>
                  <a:srgbClr val="000000"/>
                </a:solidFill>
                <a:latin typeface="Arial"/>
                <a:ea typeface="Arial"/>
                <a:cs typeface="Arial"/>
              </a:defRPr>
            </a:pPr>
            <a:endParaRPr lang="en-US"/>
          </a:p>
        </c:txPr>
        <c:crossAx val="201446528"/>
        <c:crosses val="autoZero"/>
        <c:crossBetween val="midCat"/>
      </c:valAx>
      <c:valAx>
        <c:axId val="201446528"/>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sz="1100"/>
                  <a:t>FSw</a:t>
                </a:r>
                <a:r>
                  <a:rPr lang="en-US" sz="1100" baseline="0"/>
                  <a:t> (kHz)</a:t>
                </a:r>
                <a:endParaRPr lang="en-US" sz="1100"/>
              </a:p>
            </c:rich>
          </c:tx>
          <c:layout>
            <c:manualLayout>
              <c:xMode val="edge"/>
              <c:yMode val="edge"/>
              <c:x val="1.910828025477734E-2"/>
              <c:y val="0.37298429430192825"/>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201427968"/>
        <c:crosses val="autoZero"/>
        <c:crossBetween val="midCat"/>
      </c:valAx>
      <c:spPr>
        <a:solidFill>
          <a:schemeClr val="bg1">
            <a:lumMod val="95000"/>
          </a:schemeClr>
        </a:solidFill>
        <a:ln w="12700">
          <a:solidFill>
            <a:srgbClr val="808080"/>
          </a:solidFill>
          <a:prstDash val="solid"/>
        </a:ln>
      </c:spPr>
    </c:plotArea>
    <c:legend>
      <c:legendPos val="r"/>
      <c:layout>
        <c:manualLayout>
          <c:xMode val="edge"/>
          <c:yMode val="edge"/>
          <c:x val="0.13445630576004464"/>
          <c:y val="0.14722888183191415"/>
          <c:w val="0.26461167950535469"/>
          <c:h val="0.15077691641594146"/>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822" r="0.75000000000000822"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21668095607596721"/>
          <c:y val="3.081543891394187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ser>
        <c:dLbls>
          <c:showLegendKey val="0"/>
          <c:showVal val="0"/>
          <c:showCatName val="0"/>
          <c:showSerName val="0"/>
          <c:showPercent val="0"/>
          <c:showBubbleSize val="0"/>
        </c:dLbls>
        <c:axId val="184298496"/>
        <c:axId val="184304768"/>
      </c:areaChart>
      <c:catAx>
        <c:axId val="184298496"/>
        <c:scaling>
          <c:orientation val="minMax"/>
        </c:scaling>
        <c:delete val="0"/>
        <c:axPos val="b"/>
        <c:majorGridlines>
          <c:spPr>
            <a:ln w="3175">
              <a:solidFill>
                <a:srgbClr val="000000"/>
              </a:solidFill>
              <a:prstDash val="solid"/>
            </a:ln>
          </c:spPr>
        </c:majorGridlines>
        <c:title>
          <c:tx>
            <c:rich>
              <a:bodyPr/>
              <a:lstStyle/>
              <a:p>
                <a:pPr>
                  <a:defRPr sz="1725" b="1" i="0" u="none" strike="noStrike" baseline="0">
                    <a:solidFill>
                      <a:srgbClr val="000000"/>
                    </a:solidFill>
                    <a:latin typeface="Arial"/>
                    <a:ea typeface="Arial"/>
                    <a:cs typeface="Arial"/>
                  </a:defRPr>
                </a:pPr>
                <a:r>
                  <a:rPr lang="en-US"/>
                  <a:t>I</a:t>
                </a:r>
                <a:r>
                  <a:rPr lang="en-US" baseline="-25000"/>
                  <a:t>OUT</a:t>
                </a:r>
                <a:r>
                  <a:rPr lang="en-US"/>
                  <a:t> (log)</a:t>
                </a:r>
              </a:p>
            </c:rich>
          </c:tx>
          <c:layout>
            <c:manualLayout>
              <c:xMode val="edge"/>
              <c:yMode val="edge"/>
              <c:x val="0.37238179041606823"/>
              <c:y val="0.89147900498075083"/>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sz="1725" b="0" i="0" u="none" strike="noStrike" baseline="0">
                <a:solidFill>
                  <a:srgbClr val="000000"/>
                </a:solidFill>
                <a:latin typeface="Arial"/>
                <a:ea typeface="Arial"/>
                <a:cs typeface="Arial"/>
              </a:defRPr>
            </a:pPr>
            <a:endParaRPr lang="en-US"/>
          </a:p>
        </c:txPr>
        <c:crossAx val="184304768"/>
        <c:crosses val="autoZero"/>
        <c:auto val="1"/>
        <c:lblAlgn val="ctr"/>
        <c:lblOffset val="100"/>
        <c:tickMarkSkip val="1"/>
        <c:noMultiLvlLbl val="0"/>
      </c:catAx>
      <c:valAx>
        <c:axId val="184304768"/>
        <c:scaling>
          <c:orientation val="minMax"/>
          <c:max val="0.2"/>
          <c:min val="0"/>
        </c:scaling>
        <c:delete val="0"/>
        <c:axPos val="l"/>
        <c:majorGridlines>
          <c:spPr>
            <a:ln w="3175">
              <a:solidFill>
                <a:srgbClr val="000000"/>
              </a:solidFill>
              <a:prstDash val="solid"/>
            </a:ln>
          </c:spPr>
        </c:majorGridlines>
        <c:minorGridlines/>
        <c:title>
          <c:tx>
            <c:rich>
              <a:bodyPr/>
              <a:lstStyle/>
              <a:p>
                <a:pPr>
                  <a:defRPr sz="1725" b="1" i="0" u="none" strike="noStrike" baseline="0">
                    <a:solidFill>
                      <a:srgbClr val="000000"/>
                    </a:solidFill>
                    <a:latin typeface="Arial"/>
                    <a:ea typeface="Arial"/>
                    <a:cs typeface="Arial"/>
                  </a:defRPr>
                </a:pPr>
                <a:r>
                  <a:rPr lang="en-US"/>
                  <a:t>Efficiency (%)</a:t>
                </a:r>
              </a:p>
            </c:rich>
          </c:tx>
          <c:layout>
            <c:manualLayout>
              <c:xMode val="edge"/>
              <c:yMode val="edge"/>
              <c:x val="8.9796428919729693E-2"/>
              <c:y val="0.34567051649962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en-US"/>
          </a:p>
        </c:txPr>
        <c:crossAx val="184298496"/>
        <c:crosses val="autoZero"/>
        <c:crossBetween val="midCat"/>
        <c:majorUnit val="5.000000000000001E-2"/>
        <c:minorUnit val="2.5000000000000005E-2"/>
      </c:valAx>
      <c:spPr>
        <a:solidFill>
          <a:srgbClr val="C0C0C0"/>
        </a:solidFill>
        <a:ln w="12700">
          <a:solidFill>
            <a:srgbClr val="808080"/>
          </a:solidFill>
          <a:prstDash val="solid"/>
        </a:ln>
      </c:spPr>
    </c:plotArea>
    <c:legend>
      <c:legendPos val="r"/>
      <c:layout>
        <c:manualLayout>
          <c:xMode val="edge"/>
          <c:yMode val="edge"/>
          <c:x val="0.70666185810743165"/>
          <c:y val="9.3155590739667823E-2"/>
          <c:w val="0.26010897805044486"/>
          <c:h val="0.85864261581306134"/>
        </c:manualLayout>
      </c:layout>
      <c:overlay val="0"/>
      <c:spPr>
        <a:solidFill>
          <a:srgbClr val="FFFFFF"/>
        </a:solidFill>
        <a:ln w="3175">
          <a:solidFill>
            <a:srgbClr val="000000"/>
          </a:solidFill>
          <a:prstDash val="solid"/>
        </a:ln>
      </c:spPr>
      <c:txPr>
        <a:bodyPr/>
        <a:lstStyle/>
        <a:p>
          <a:pPr>
            <a:defRPr sz="13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100mA)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dLbl>
            <c:txPr>
              <a:bodyPr/>
              <a:lstStyle/>
              <a:p>
                <a:pPr>
                  <a:defRPr sz="1200" b="1"/>
                </a:pPr>
                <a:endParaRPr lang="en-US"/>
              </a:p>
            </c:txPr>
            <c:dLblPos val="outEnd"/>
            <c:showLegendKey val="0"/>
            <c:showVal val="0"/>
            <c:showCatName val="0"/>
            <c:showSerName val="1"/>
            <c:showPercent val="0"/>
            <c:showBubbleSize val="0"/>
            <c:showLeaderLines val="0"/>
          </c:dLbls>
          <c:val>
            <c:numRef>
              <c:f>Parameters!$BA$109</c:f>
              <c:numCache>
                <c:formatCode>0.000%</c:formatCode>
                <c:ptCount val="1"/>
                <c:pt idx="0">
                  <c:v>8.1000709018000279E-3</c:v>
                </c:pt>
              </c:numCache>
            </c:numRef>
          </c:val>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dLbl>
            <c:txPr>
              <a:bodyPr/>
              <a:lstStyle/>
              <a:p>
                <a:pPr>
                  <a:defRPr sz="1200" b="1"/>
                </a:pPr>
                <a:endParaRPr lang="en-US"/>
              </a:p>
            </c:txPr>
            <c:dLblPos val="outEnd"/>
            <c:showLegendKey val="0"/>
            <c:showVal val="0"/>
            <c:showCatName val="0"/>
            <c:showSerName val="0"/>
            <c:showPercent val="0"/>
            <c:showBubbleSize val="0"/>
          </c:dLbls>
          <c:val>
            <c:numRef>
              <c:f>Parameters!$BD$109</c:f>
              <c:numCache>
                <c:formatCode>0.000%</c:formatCode>
                <c:ptCount val="1"/>
                <c:pt idx="0">
                  <c:v>9.9057039827182662E-3</c:v>
                </c:pt>
              </c:numCache>
            </c:numRef>
          </c:val>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dLbl>
            <c:txPr>
              <a:bodyPr/>
              <a:lstStyle/>
              <a:p>
                <a:pPr>
                  <a:defRPr b="1"/>
                </a:pPr>
                <a:endParaRPr lang="en-US"/>
              </a:p>
            </c:txPr>
            <c:dLblPos val="outEnd"/>
            <c:showLegendKey val="0"/>
            <c:showVal val="1"/>
            <c:showCatName val="0"/>
            <c:showSerName val="1"/>
            <c:showPercent val="0"/>
            <c:showBubbleSize val="0"/>
            <c:showLeaderLines val="0"/>
          </c:dLbls>
          <c:val>
            <c:numRef>
              <c:f>Parameters!$BB$109</c:f>
              <c:numCache>
                <c:formatCode>0.000%</c:formatCode>
                <c:ptCount val="1"/>
                <c:pt idx="0">
                  <c:v>1.4614802049391215E-2</c:v>
                </c:pt>
              </c:numCache>
            </c:numRef>
          </c:val>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dLbl>
            <c:txPr>
              <a:bodyPr/>
              <a:lstStyle/>
              <a:p>
                <a:pPr>
                  <a:defRPr sz="1200" b="1"/>
                </a:pPr>
                <a:endParaRPr lang="en-US"/>
              </a:p>
            </c:txPr>
            <c:dLblPos val="outEnd"/>
            <c:showLegendKey val="0"/>
            <c:showVal val="0"/>
            <c:showCatName val="0"/>
            <c:showSerName val="1"/>
            <c:showPercent val="0"/>
            <c:showBubbleSize val="0"/>
            <c:showLeaderLines val="0"/>
          </c:dLbls>
          <c:val>
            <c:numRef>
              <c:f>Parameters!$BF$109</c:f>
              <c:numCache>
                <c:formatCode>0.000%</c:formatCode>
                <c:ptCount val="1"/>
                <c:pt idx="0">
                  <c:v>1.6465542803473395E-3</c:v>
                </c:pt>
              </c:numCache>
            </c:numRef>
          </c:val>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dLbl>
            <c:txPr>
              <a:bodyPr rot="0" vert="horz"/>
              <a:lstStyle/>
              <a:p>
                <a:pPr>
                  <a:defRPr sz="1200" b="1"/>
                </a:pPr>
                <a:endParaRPr lang="en-US"/>
              </a:p>
            </c:txPr>
            <c:dLblPos val="outEnd"/>
            <c:showLegendKey val="0"/>
            <c:showVal val="0"/>
            <c:showCatName val="0"/>
            <c:showSerName val="0"/>
            <c:showPercent val="0"/>
            <c:showBubbleSize val="0"/>
          </c:dLbls>
          <c:val>
            <c:numRef>
              <c:f>Parameters!$BC$109</c:f>
              <c:numCache>
                <c:formatCode>0.000%</c:formatCode>
                <c:ptCount val="1"/>
                <c:pt idx="0">
                  <c:v>2.4831534664325892E-2</c:v>
                </c:pt>
              </c:numCache>
            </c:numRef>
          </c:val>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dLbl>
            <c:showLegendKey val="0"/>
            <c:showVal val="0"/>
            <c:showCatName val="0"/>
            <c:showSerName val="1"/>
            <c:showPercent val="0"/>
            <c:showBubbleSize val="0"/>
            <c:showLeaderLines val="0"/>
          </c:dLbls>
          <c:val>
            <c:numRef>
              <c:f>Parameters!$BE$109</c:f>
              <c:numCache>
                <c:formatCode>0.000%</c:formatCode>
                <c:ptCount val="1"/>
                <c:pt idx="0">
                  <c:v>1.1631608311305648E-2</c:v>
                </c:pt>
              </c:numCache>
            </c:numRef>
          </c:val>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dLbl>
            <c:txPr>
              <a:bodyPr/>
              <a:lstStyle/>
              <a:p>
                <a:pPr>
                  <a:defRPr sz="1200" b="1"/>
                </a:pPr>
                <a:endParaRPr lang="en-US"/>
              </a:p>
            </c:txPr>
            <c:showLegendKey val="0"/>
            <c:showVal val="0"/>
            <c:showCatName val="0"/>
            <c:showSerName val="0"/>
            <c:showPercent val="0"/>
            <c:showBubbleSize val="0"/>
          </c:dLbls>
          <c:val>
            <c:numRef>
              <c:f>Parameters!$BG$109</c:f>
              <c:numCache>
                <c:formatCode>0.000%</c:formatCode>
                <c:ptCount val="1"/>
                <c:pt idx="0">
                  <c:v>1.6051760250250457E-2</c:v>
                </c:pt>
              </c:numCache>
            </c:numRef>
          </c:val>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dLbl>
            <c:txPr>
              <a:bodyPr/>
              <a:lstStyle/>
              <a:p>
                <a:pPr>
                  <a:defRPr sz="1200" b="1"/>
                </a:pPr>
                <a:endParaRPr lang="en-US"/>
              </a:p>
            </c:txPr>
            <c:showLegendKey val="0"/>
            <c:showVal val="0"/>
            <c:showCatName val="0"/>
            <c:showSerName val="0"/>
            <c:showPercent val="0"/>
            <c:showBubbleSize val="0"/>
          </c:dLbls>
          <c:val>
            <c:numRef>
              <c:f>Parameters!$BH$109</c:f>
              <c:numCache>
                <c:formatCode>0.000%</c:formatCode>
                <c:ptCount val="1"/>
                <c:pt idx="0">
                  <c:v>6.8152413568584669E-3</c:v>
                </c:pt>
              </c:numCache>
            </c:numRef>
          </c:val>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dLbl>
            <c:numFmt formatCode="0.0E+00" sourceLinked="0"/>
            <c:spPr>
              <a:noFill/>
            </c:spPr>
            <c:txPr>
              <a:bodyPr rot="0" vert="horz" anchor="ctr" anchorCtr="0"/>
              <a:lstStyle/>
              <a:p>
                <a:pPr>
                  <a:defRPr sz="1200" b="1"/>
                </a:pPr>
                <a:endParaRPr lang="en-US"/>
              </a:p>
            </c:txPr>
            <c:showLegendKey val="0"/>
            <c:showVal val="0"/>
            <c:showCatName val="0"/>
            <c:showSerName val="0"/>
            <c:showPercent val="0"/>
            <c:showBubbleSize val="0"/>
          </c:dLbls>
          <c:val>
            <c:numRef>
              <c:f>Parameters!$BJ$109</c:f>
              <c:numCache>
                <c:formatCode>0.000%</c:formatCode>
                <c:ptCount val="1"/>
                <c:pt idx="0">
                  <c:v>1.2837829865088564E-2</c:v>
                </c:pt>
              </c:numCache>
            </c:numRef>
          </c:val>
        </c:ser>
        <c:dLbls>
          <c:showLegendKey val="0"/>
          <c:showVal val="0"/>
          <c:showCatName val="0"/>
          <c:showSerName val="0"/>
          <c:showPercent val="0"/>
          <c:showBubbleSize val="0"/>
        </c:dLbls>
        <c:gapWidth val="101"/>
        <c:overlap val="-70"/>
        <c:axId val="210579456"/>
        <c:axId val="210580992"/>
      </c:barChart>
      <c:catAx>
        <c:axId val="210579456"/>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en-US"/>
          </a:p>
        </c:txPr>
        <c:crossAx val="210580992"/>
        <c:crossesAt val="0"/>
        <c:auto val="1"/>
        <c:lblAlgn val="ctr"/>
        <c:lblOffset val="100"/>
        <c:noMultiLvlLbl val="0"/>
      </c:catAx>
      <c:valAx>
        <c:axId val="210580992"/>
        <c:scaling>
          <c:orientation val="minMax"/>
          <c:min val="0"/>
        </c:scaling>
        <c:delete val="0"/>
        <c:axPos val="l"/>
        <c:majorGridlines>
          <c:spPr>
            <a:ln>
              <a:prstDash val="lgDash"/>
            </a:ln>
          </c:spPr>
        </c:majorGridlines>
        <c:title>
          <c:tx>
            <c:rich>
              <a:bodyPr/>
              <a:lstStyle/>
              <a:p>
                <a:pPr>
                  <a:defRPr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crossAx val="210579456"/>
        <c:crosses val="autoZero"/>
        <c:crossBetween val="between"/>
        <c:majorUnit val="5.0000000000000036E-3"/>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255" r="0.75000000000000255" t="1" header="0.5" footer="0.5"/>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19265692406240287"/>
          <c:y val="3.08154325074303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ser>
        <c:dLbls>
          <c:showLegendKey val="0"/>
          <c:showVal val="0"/>
          <c:showCatName val="0"/>
          <c:showSerName val="0"/>
          <c:showPercent val="0"/>
          <c:showBubbleSize val="0"/>
        </c:dLbls>
        <c:axId val="210646528"/>
        <c:axId val="210648448"/>
      </c:areaChart>
      <c:catAx>
        <c:axId val="210646528"/>
        <c:scaling>
          <c:orientation val="minMax"/>
        </c:scaling>
        <c:delete val="0"/>
        <c:axPos val="b"/>
        <c:majorGridlines>
          <c:spPr>
            <a:ln w="3175">
              <a:solidFill>
                <a:srgbClr val="000000"/>
              </a:solidFill>
              <a:prstDash val="solid"/>
            </a:ln>
          </c:spPr>
        </c:majorGridlines>
        <c:title>
          <c:tx>
            <c:rich>
              <a:bodyPr/>
              <a:lstStyle/>
              <a:p>
                <a:pPr>
                  <a:defRPr sz="1725" b="1" i="0" u="none" strike="noStrike" baseline="0">
                    <a:solidFill>
                      <a:srgbClr val="000000"/>
                    </a:solidFill>
                    <a:latin typeface="Arial"/>
                    <a:ea typeface="Arial"/>
                    <a:cs typeface="Arial"/>
                  </a:defRPr>
                </a:pPr>
                <a:r>
                  <a:rPr lang="en-US"/>
                  <a:t>I</a:t>
                </a:r>
                <a:r>
                  <a:rPr lang="en-US" baseline="-25000"/>
                  <a:t>OUT</a:t>
                </a:r>
                <a:r>
                  <a:rPr lang="en-US"/>
                  <a:t> (log scale)</a:t>
                </a:r>
              </a:p>
            </c:rich>
          </c:tx>
          <c:layout>
            <c:manualLayout>
              <c:xMode val="edge"/>
              <c:yMode val="edge"/>
              <c:x val="0.36670200647119611"/>
              <c:y val="0.89150460843557344"/>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sz="1725" b="0" i="0" u="none" strike="noStrike" baseline="0">
                <a:solidFill>
                  <a:srgbClr val="000000"/>
                </a:solidFill>
                <a:latin typeface="Arial"/>
                <a:ea typeface="Arial"/>
                <a:cs typeface="Arial"/>
              </a:defRPr>
            </a:pPr>
            <a:endParaRPr lang="en-US"/>
          </a:p>
        </c:txPr>
        <c:crossAx val="210648448"/>
        <c:crosses val="autoZero"/>
        <c:auto val="1"/>
        <c:lblAlgn val="ctr"/>
        <c:lblOffset val="100"/>
        <c:tickMarkSkip val="1"/>
        <c:noMultiLvlLbl val="0"/>
      </c:catAx>
      <c:valAx>
        <c:axId val="210648448"/>
        <c:scaling>
          <c:orientation val="minMax"/>
          <c:max val="0.2"/>
          <c:min val="0"/>
        </c:scaling>
        <c:delete val="0"/>
        <c:axPos val="l"/>
        <c:majorGridlines>
          <c:spPr>
            <a:ln w="3175">
              <a:solidFill>
                <a:srgbClr val="000000"/>
              </a:solidFill>
              <a:prstDash val="solid"/>
            </a:ln>
          </c:spPr>
        </c:majorGridlines>
        <c:title>
          <c:tx>
            <c:rich>
              <a:bodyPr/>
              <a:lstStyle/>
              <a:p>
                <a:pPr>
                  <a:defRPr sz="1725" b="1" i="0" u="none" strike="noStrike" baseline="0">
                    <a:solidFill>
                      <a:srgbClr val="000000"/>
                    </a:solidFill>
                    <a:latin typeface="Arial"/>
                    <a:ea typeface="Arial"/>
                    <a:cs typeface="Arial"/>
                  </a:defRPr>
                </a:pPr>
                <a:r>
                  <a:rPr lang="en-US"/>
                  <a:t>Efficiency (%)</a:t>
                </a:r>
              </a:p>
            </c:rich>
          </c:tx>
          <c:layout>
            <c:manualLayout>
              <c:xMode val="edge"/>
              <c:yMode val="edge"/>
              <c:x val="0.10744349235757295"/>
              <c:y val="0.3194331835533080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en-US"/>
          </a:p>
        </c:txPr>
        <c:crossAx val="210646528"/>
        <c:crosses val="autoZero"/>
        <c:crossBetween val="midCat"/>
        <c:majorUnit val="0.05"/>
      </c:valAx>
      <c:spPr>
        <a:solidFill>
          <a:srgbClr val="C0C0C0"/>
        </a:solidFill>
        <a:ln w="12700">
          <a:solidFill>
            <a:srgbClr val="808080"/>
          </a:solidFill>
          <a:prstDash val="solid"/>
        </a:ln>
      </c:spPr>
    </c:plotArea>
    <c:legend>
      <c:legendPos val="r"/>
      <c:layout>
        <c:manualLayout>
          <c:xMode val="edge"/>
          <c:yMode val="edge"/>
          <c:x val="0.6796348064312191"/>
          <c:y val="5.737748792134436E-2"/>
          <c:w val="0.26010897805044486"/>
          <c:h val="0.85864261581306134"/>
        </c:manualLayout>
      </c:layout>
      <c:overlay val="0"/>
      <c:spPr>
        <a:solidFill>
          <a:srgbClr val="FFFFFF"/>
        </a:solidFill>
        <a:ln w="3175">
          <a:solidFill>
            <a:srgbClr val="000000"/>
          </a:solidFill>
          <a:prstDash val="solid"/>
        </a:ln>
      </c:spPr>
      <c:txPr>
        <a:bodyPr/>
        <a:lstStyle/>
        <a:p>
          <a:pPr>
            <a:defRPr sz="13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lineChart>
        <c:grouping val="standard"/>
        <c:varyColors val="0"/>
        <c:ser>
          <c:idx val="0"/>
          <c:order val="0"/>
          <c:tx>
            <c:v> Efficiency</c:v>
          </c:tx>
          <c:spPr>
            <a:ln w="31750">
              <a:solidFill>
                <a:srgbClr val="FF0000"/>
              </a:solidFill>
              <a:prstDash val="solid"/>
            </a:ln>
          </c:spPr>
          <c:marker>
            <c:symbol val="none"/>
          </c:marker>
          <c:cat>
            <c:numRef>
              <c:f>Parameters!$BN$6:$BN$106</c:f>
              <c:numCache>
                <c:formatCode>0.000</c:formatCode>
                <c:ptCount val="101"/>
                <c:pt idx="0">
                  <c:v>0.11</c:v>
                </c:pt>
                <c:pt idx="1">
                  <c:v>1.1000000000000001</c:v>
                </c:pt>
                <c:pt idx="2">
                  <c:v>2.2000000000000002</c:v>
                </c:pt>
                <c:pt idx="3">
                  <c:v>3.3</c:v>
                </c:pt>
                <c:pt idx="100">
                  <c:v>110</c:v>
                </c:pt>
              </c:numCache>
            </c:numRef>
          </c:cat>
          <c:val>
            <c:numRef>
              <c:f>Parameters!$BZ$6:$BZ$106</c:f>
              <c:numCache>
                <c:formatCode>0.00</c:formatCode>
                <c:ptCount val="101"/>
                <c:pt idx="0">
                  <c:v>100</c:v>
                </c:pt>
                <c:pt idx="1">
                  <c:v>100</c:v>
                </c:pt>
                <c:pt idx="2">
                  <c:v>100</c:v>
                </c:pt>
                <c:pt idx="3">
                  <c:v>100</c:v>
                </c:pt>
                <c:pt idx="100">
                  <c:v>100</c:v>
                </c:pt>
              </c:numCache>
            </c:numRef>
          </c:val>
          <c:smooth val="1"/>
        </c:ser>
        <c:dLbls>
          <c:showLegendKey val="0"/>
          <c:showVal val="0"/>
          <c:showCatName val="0"/>
          <c:showSerName val="0"/>
          <c:showPercent val="0"/>
          <c:showBubbleSize val="0"/>
        </c:dLbls>
        <c:marker val="1"/>
        <c:smooth val="0"/>
        <c:axId val="210689408"/>
        <c:axId val="210712064"/>
      </c:lineChart>
      <c:lineChart>
        <c:grouping val="standard"/>
        <c:varyColors val="0"/>
        <c:ser>
          <c:idx val="2"/>
          <c:order val="1"/>
          <c:tx>
            <c:v> IC Total Power Loss</c:v>
          </c:tx>
          <c:spPr>
            <a:ln w="38100">
              <a:solidFill>
                <a:srgbClr val="808000"/>
              </a:solidFill>
              <a:prstDash val="sysDash"/>
            </a:ln>
          </c:spPr>
          <c:marker>
            <c:symbol val="none"/>
          </c:marker>
          <c:cat>
            <c:numRef>
              <c:f>Parameters!$BN$6:$BN$106</c:f>
              <c:numCache>
                <c:formatCode>0.000</c:formatCode>
                <c:ptCount val="101"/>
                <c:pt idx="0">
                  <c:v>0.11</c:v>
                </c:pt>
                <c:pt idx="1">
                  <c:v>1.1000000000000001</c:v>
                </c:pt>
                <c:pt idx="2">
                  <c:v>2.2000000000000002</c:v>
                </c:pt>
                <c:pt idx="3">
                  <c:v>3.3</c:v>
                </c:pt>
                <c:pt idx="100">
                  <c:v>110</c:v>
                </c:pt>
              </c:numCache>
            </c:numRef>
          </c:cat>
          <c:val>
            <c:numRef>
              <c:f>Parameters!$CA$6:$CA$106</c:f>
              <c:numCache>
                <c:formatCode>0.00</c:formatCode>
                <c:ptCount val="101"/>
                <c:pt idx="0">
                  <c:v>0</c:v>
                </c:pt>
                <c:pt idx="1">
                  <c:v>0</c:v>
                </c:pt>
                <c:pt idx="2">
                  <c:v>0</c:v>
                </c:pt>
                <c:pt idx="3">
                  <c:v>0</c:v>
                </c:pt>
                <c:pt idx="100">
                  <c:v>0</c:v>
                </c:pt>
              </c:numCache>
            </c:numRef>
          </c:val>
          <c:smooth val="0"/>
        </c:ser>
        <c:ser>
          <c:idx val="1"/>
          <c:order val="2"/>
          <c:tx>
            <c:v> LDO + Quiescent Loss</c:v>
          </c:tx>
          <c:spPr>
            <a:ln w="38100">
              <a:solidFill>
                <a:srgbClr val="002060"/>
              </a:solidFill>
              <a:prstDash val="sysDot"/>
            </a:ln>
          </c:spPr>
          <c:marker>
            <c:symbol val="none"/>
          </c:marker>
          <c:cat>
            <c:numRef>
              <c:f>Parameters!$BN$6:$BN$106</c:f>
              <c:numCache>
                <c:formatCode>0.000</c:formatCode>
                <c:ptCount val="101"/>
                <c:pt idx="0">
                  <c:v>0.11</c:v>
                </c:pt>
                <c:pt idx="1">
                  <c:v>1.1000000000000001</c:v>
                </c:pt>
                <c:pt idx="2">
                  <c:v>2.2000000000000002</c:v>
                </c:pt>
                <c:pt idx="3">
                  <c:v>3.3</c:v>
                </c:pt>
                <c:pt idx="100">
                  <c:v>110</c:v>
                </c:pt>
              </c:numCache>
            </c:numRef>
          </c:cat>
          <c:val>
            <c:numRef>
              <c:f>Parameters!$CB$6:$CB$106</c:f>
              <c:numCache>
                <c:formatCode>0.00</c:formatCode>
                <c:ptCount val="101"/>
                <c:pt idx="0">
                  <c:v>0</c:v>
                </c:pt>
                <c:pt idx="1">
                  <c:v>0</c:v>
                </c:pt>
                <c:pt idx="2">
                  <c:v>0</c:v>
                </c:pt>
                <c:pt idx="3">
                  <c:v>0</c:v>
                </c:pt>
                <c:pt idx="100">
                  <c:v>0</c:v>
                </c:pt>
              </c:numCache>
            </c:numRef>
          </c:val>
          <c:smooth val="0"/>
        </c:ser>
        <c:ser>
          <c:idx val="3"/>
          <c:order val="3"/>
          <c:tx>
            <c:v> Inductor Loss</c:v>
          </c:tx>
          <c:spPr>
            <a:ln w="38100">
              <a:solidFill>
                <a:srgbClr val="800080"/>
              </a:solidFill>
              <a:prstDash val="dash"/>
            </a:ln>
          </c:spPr>
          <c:marker>
            <c:symbol val="none"/>
          </c:marker>
          <c:cat>
            <c:numRef>
              <c:f>Parameters!$BN$6:$BN$106</c:f>
              <c:numCache>
                <c:formatCode>0.000</c:formatCode>
                <c:ptCount val="101"/>
                <c:pt idx="0">
                  <c:v>0.11</c:v>
                </c:pt>
                <c:pt idx="1">
                  <c:v>1.1000000000000001</c:v>
                </c:pt>
                <c:pt idx="2">
                  <c:v>2.2000000000000002</c:v>
                </c:pt>
                <c:pt idx="3">
                  <c:v>3.3</c:v>
                </c:pt>
                <c:pt idx="100">
                  <c:v>110</c:v>
                </c:pt>
              </c:numCache>
            </c:numRef>
          </c:cat>
          <c:val>
            <c:numRef>
              <c:f>Parameters!$CC$6:$CC$106</c:f>
              <c:numCache>
                <c:formatCode>0.00</c:formatCode>
                <c:ptCount val="101"/>
                <c:pt idx="0">
                  <c:v>0</c:v>
                </c:pt>
                <c:pt idx="1">
                  <c:v>0</c:v>
                </c:pt>
                <c:pt idx="2">
                  <c:v>0</c:v>
                </c:pt>
                <c:pt idx="3">
                  <c:v>0</c:v>
                </c:pt>
                <c:pt idx="100">
                  <c:v>0</c:v>
                </c:pt>
              </c:numCache>
            </c:numRef>
          </c:val>
          <c:smooth val="0"/>
        </c:ser>
        <c:dLbls>
          <c:showLegendKey val="0"/>
          <c:showVal val="0"/>
          <c:showCatName val="0"/>
          <c:showSerName val="0"/>
          <c:showPercent val="0"/>
          <c:showBubbleSize val="0"/>
        </c:dLbls>
        <c:marker val="1"/>
        <c:smooth val="0"/>
        <c:axId val="210720256"/>
        <c:axId val="210713984"/>
      </c:lineChart>
      <c:catAx>
        <c:axId val="210689408"/>
        <c:scaling>
          <c:orientation val="minMax"/>
        </c:scaling>
        <c:delete val="0"/>
        <c:axPos val="b"/>
        <c:majorGridlines>
          <c:spPr>
            <a:ln w="15875">
              <a:solidFill>
                <a:srgbClr val="969696"/>
              </a:solidFill>
              <a:prstDash val="sysDash"/>
            </a:ln>
          </c:spPr>
        </c:majorGridlines>
        <c:title>
          <c:tx>
            <c:rich>
              <a:bodyPr/>
              <a:lstStyle/>
              <a:p>
                <a:pPr>
                  <a:defRPr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Arial" pitchFamily="34" charset="0"/>
                <a:ea typeface="Calibri"/>
                <a:cs typeface="Arial" pitchFamily="34" charset="0"/>
              </a:defRPr>
            </a:pPr>
            <a:endParaRPr lang="en-US"/>
          </a:p>
        </c:txPr>
        <c:crossAx val="210712064"/>
        <c:crosses val="autoZero"/>
        <c:auto val="1"/>
        <c:lblAlgn val="ctr"/>
        <c:lblOffset val="100"/>
        <c:tickLblSkip val="20"/>
        <c:tickMarkSkip val="20"/>
        <c:noMultiLvlLbl val="0"/>
      </c:catAx>
      <c:valAx>
        <c:axId val="210712064"/>
        <c:scaling>
          <c:orientation val="minMax"/>
          <c:max val="95"/>
          <c:min val="65"/>
        </c:scaling>
        <c:delete val="0"/>
        <c:axPos val="l"/>
        <c:majorGridlines>
          <c:spPr>
            <a:ln w="15875">
              <a:solidFill>
                <a:srgbClr val="808080"/>
              </a:solidFill>
              <a:prstDash val="solid"/>
            </a:ln>
          </c:spPr>
        </c:majorGridlines>
        <c:min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210689408"/>
        <c:crossesAt val="0"/>
        <c:crossBetween val="between"/>
        <c:majorUnit val="5"/>
        <c:minorUnit val="2.5"/>
      </c:valAx>
      <c:valAx>
        <c:axId val="210713984"/>
        <c:scaling>
          <c:orientation val="minMax"/>
        </c:scaling>
        <c:delete val="0"/>
        <c:axPos val="r"/>
        <c:title>
          <c:tx>
            <c:rich>
              <a:bodyPr rot="-5400000" vert="horz"/>
              <a:lstStyle/>
              <a:p>
                <a:pPr>
                  <a:defRPr sz="1400" b="1">
                    <a:solidFill>
                      <a:srgbClr val="0000FF"/>
                    </a:solidFill>
                  </a:defRPr>
                </a:pPr>
                <a:r>
                  <a:rPr lang="en-US" sz="1400" b="1">
                    <a:solidFill>
                      <a:srgbClr val="0000FF"/>
                    </a:solidFill>
                  </a:rPr>
                  <a:t>Power Loss (mW)</a:t>
                </a:r>
              </a:p>
            </c:rich>
          </c:tx>
          <c:layout>
            <c:manualLayout>
              <c:xMode val="edge"/>
              <c:yMode val="edge"/>
              <c:x val="0.95720616195060426"/>
              <c:y val="0.34716258649486992"/>
            </c:manualLayout>
          </c:layout>
          <c:overlay val="0"/>
        </c:title>
        <c:numFmt formatCode="0" sourceLinked="0"/>
        <c:majorTickMark val="out"/>
        <c:minorTickMark val="none"/>
        <c:tickLblPos val="nextTo"/>
        <c:txPr>
          <a:bodyPr/>
          <a:lstStyle/>
          <a:p>
            <a:pPr>
              <a:defRPr sz="1100" b="1">
                <a:solidFill>
                  <a:srgbClr val="0000FF"/>
                </a:solidFill>
              </a:defRPr>
            </a:pPr>
            <a:endParaRPr lang="en-US"/>
          </a:p>
        </c:txPr>
        <c:crossAx val="210720256"/>
        <c:crosses val="max"/>
        <c:crossBetween val="between"/>
      </c:valAx>
      <c:catAx>
        <c:axId val="210720256"/>
        <c:scaling>
          <c:orientation val="minMax"/>
        </c:scaling>
        <c:delete val="1"/>
        <c:axPos val="b"/>
        <c:numFmt formatCode="0.000" sourceLinked="1"/>
        <c:majorTickMark val="out"/>
        <c:minorTickMark val="none"/>
        <c:tickLblPos val="nextTo"/>
        <c:crossAx val="210713984"/>
        <c:crosses val="autoZero"/>
        <c:auto val="1"/>
        <c:lblAlgn val="ctr"/>
        <c:lblOffset val="100"/>
        <c:noMultiLvlLbl val="0"/>
      </c:catAx>
      <c:spPr>
        <a:noFill/>
        <a:ln w="25400">
          <a:noFill/>
        </a:ln>
      </c:spPr>
    </c:plotArea>
    <c:legend>
      <c:legendPos val="t"/>
      <c:layout>
        <c:manualLayout>
          <c:xMode val="edge"/>
          <c:yMode val="edge"/>
          <c:x val="0.38866500767592732"/>
          <c:y val="1.1892546194234431E-2"/>
          <c:w val="0.61133499232407273"/>
          <c:h val="9.7234170816987084E-2"/>
        </c:manualLayout>
      </c:layout>
      <c:overlay val="0"/>
      <c:spPr>
        <a:solidFill>
          <a:srgbClr val="FFFFFF"/>
        </a:solidFill>
        <a:ln w="25400">
          <a:noFill/>
        </a:ln>
      </c:spPr>
      <c:txPr>
        <a:bodyPr/>
        <a:lstStyle/>
        <a:p>
          <a:pPr>
            <a:defRPr sz="12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paperSize="5"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scatterChart>
        <c:scatterStyle val="smoothMarker"/>
        <c:varyColors val="0"/>
        <c:ser>
          <c:idx val="0"/>
          <c:order val="0"/>
          <c:tx>
            <c:v> Efficiency</c:v>
          </c:tx>
          <c:spPr>
            <a:ln w="31750">
              <a:solidFill>
                <a:srgbClr val="FF0000"/>
              </a:solidFill>
              <a:prstDash val="solid"/>
            </a:ln>
          </c:spPr>
          <c:marker>
            <c:symbol val="none"/>
          </c:marker>
          <c:xVal>
            <c:numRef>
              <c:f>Parameters!$BN$6:$BN$106</c:f>
              <c:numCache>
                <c:formatCode>0.000</c:formatCode>
                <c:ptCount val="101"/>
                <c:pt idx="0">
                  <c:v>0.11</c:v>
                </c:pt>
                <c:pt idx="1">
                  <c:v>1.1000000000000001</c:v>
                </c:pt>
                <c:pt idx="2">
                  <c:v>2.2000000000000002</c:v>
                </c:pt>
                <c:pt idx="3">
                  <c:v>3.3</c:v>
                </c:pt>
                <c:pt idx="100">
                  <c:v>110</c:v>
                </c:pt>
              </c:numCache>
            </c:numRef>
          </c:xVal>
          <c:yVal>
            <c:numRef>
              <c:f>Parameters!$BZ$6:$BZ$106</c:f>
              <c:numCache>
                <c:formatCode>0.00</c:formatCode>
                <c:ptCount val="101"/>
                <c:pt idx="0">
                  <c:v>100</c:v>
                </c:pt>
                <c:pt idx="1">
                  <c:v>100</c:v>
                </c:pt>
                <c:pt idx="2">
                  <c:v>100</c:v>
                </c:pt>
                <c:pt idx="3">
                  <c:v>100</c:v>
                </c:pt>
                <c:pt idx="100">
                  <c:v>100</c:v>
                </c:pt>
              </c:numCache>
            </c:numRef>
          </c:yVal>
          <c:smooth val="1"/>
        </c:ser>
        <c:dLbls>
          <c:showLegendKey val="0"/>
          <c:showVal val="0"/>
          <c:showCatName val="0"/>
          <c:showSerName val="0"/>
          <c:showPercent val="0"/>
          <c:showBubbleSize val="0"/>
        </c:dLbls>
        <c:axId val="211162624"/>
        <c:axId val="211164544"/>
      </c:scatterChart>
      <c:scatterChart>
        <c:scatterStyle val="smoothMarker"/>
        <c:varyColors val="0"/>
        <c:ser>
          <c:idx val="2"/>
          <c:order val="1"/>
          <c:tx>
            <c:v> IC Total Power Loss</c:v>
          </c:tx>
          <c:spPr>
            <a:ln w="38100">
              <a:solidFill>
                <a:srgbClr val="808000"/>
              </a:solidFill>
              <a:prstDash val="sysDash"/>
            </a:ln>
          </c:spPr>
          <c:marker>
            <c:symbol val="none"/>
          </c:marker>
          <c:xVal>
            <c:numRef>
              <c:f>Parameters!$BN$6:$BN$106</c:f>
              <c:numCache>
                <c:formatCode>0.000</c:formatCode>
                <c:ptCount val="101"/>
                <c:pt idx="0">
                  <c:v>0.11</c:v>
                </c:pt>
                <c:pt idx="1">
                  <c:v>1.1000000000000001</c:v>
                </c:pt>
                <c:pt idx="2">
                  <c:v>2.2000000000000002</c:v>
                </c:pt>
                <c:pt idx="3">
                  <c:v>3.3</c:v>
                </c:pt>
                <c:pt idx="100">
                  <c:v>110</c:v>
                </c:pt>
              </c:numCache>
            </c:numRef>
          </c:xVal>
          <c:yVal>
            <c:numRef>
              <c:f>Parameters!$CA$6:$CA$106</c:f>
              <c:numCache>
                <c:formatCode>0.00</c:formatCode>
                <c:ptCount val="101"/>
                <c:pt idx="0">
                  <c:v>0</c:v>
                </c:pt>
                <c:pt idx="1">
                  <c:v>0</c:v>
                </c:pt>
                <c:pt idx="2">
                  <c:v>0</c:v>
                </c:pt>
                <c:pt idx="3">
                  <c:v>0</c:v>
                </c:pt>
                <c:pt idx="100">
                  <c:v>0</c:v>
                </c:pt>
              </c:numCache>
            </c:numRef>
          </c:yVal>
          <c:smooth val="1"/>
        </c:ser>
        <c:ser>
          <c:idx val="1"/>
          <c:order val="2"/>
          <c:tx>
            <c:v> LDO + Quiescent Loss</c:v>
          </c:tx>
          <c:spPr>
            <a:ln w="38100">
              <a:solidFill>
                <a:srgbClr val="002060"/>
              </a:solidFill>
              <a:prstDash val="sysDot"/>
            </a:ln>
          </c:spPr>
          <c:marker>
            <c:symbol val="none"/>
          </c:marker>
          <c:xVal>
            <c:numRef>
              <c:f>Parameters!$BN$6:$BN$106</c:f>
              <c:numCache>
                <c:formatCode>0.000</c:formatCode>
                <c:ptCount val="101"/>
                <c:pt idx="0">
                  <c:v>0.11</c:v>
                </c:pt>
                <c:pt idx="1">
                  <c:v>1.1000000000000001</c:v>
                </c:pt>
                <c:pt idx="2">
                  <c:v>2.2000000000000002</c:v>
                </c:pt>
                <c:pt idx="3">
                  <c:v>3.3</c:v>
                </c:pt>
                <c:pt idx="100">
                  <c:v>110</c:v>
                </c:pt>
              </c:numCache>
            </c:numRef>
          </c:xVal>
          <c:yVal>
            <c:numRef>
              <c:f>Parameters!$CB$6:$CB$106</c:f>
              <c:numCache>
                <c:formatCode>0.00</c:formatCode>
                <c:ptCount val="101"/>
                <c:pt idx="0">
                  <c:v>0</c:v>
                </c:pt>
                <c:pt idx="1">
                  <c:v>0</c:v>
                </c:pt>
                <c:pt idx="2">
                  <c:v>0</c:v>
                </c:pt>
                <c:pt idx="3">
                  <c:v>0</c:v>
                </c:pt>
                <c:pt idx="100">
                  <c:v>0</c:v>
                </c:pt>
              </c:numCache>
            </c:numRef>
          </c:yVal>
          <c:smooth val="1"/>
        </c:ser>
        <c:ser>
          <c:idx val="3"/>
          <c:order val="3"/>
          <c:tx>
            <c:v> Inductor Loss</c:v>
          </c:tx>
          <c:spPr>
            <a:ln w="38100">
              <a:solidFill>
                <a:srgbClr val="800080"/>
              </a:solidFill>
              <a:prstDash val="dash"/>
            </a:ln>
          </c:spPr>
          <c:marker>
            <c:symbol val="none"/>
          </c:marker>
          <c:xVal>
            <c:numRef>
              <c:f>Parameters!$BN$6:$BN$106</c:f>
              <c:numCache>
                <c:formatCode>0.000</c:formatCode>
                <c:ptCount val="101"/>
                <c:pt idx="0">
                  <c:v>0.11</c:v>
                </c:pt>
                <c:pt idx="1">
                  <c:v>1.1000000000000001</c:v>
                </c:pt>
                <c:pt idx="2">
                  <c:v>2.2000000000000002</c:v>
                </c:pt>
                <c:pt idx="3">
                  <c:v>3.3</c:v>
                </c:pt>
                <c:pt idx="100">
                  <c:v>110</c:v>
                </c:pt>
              </c:numCache>
            </c:numRef>
          </c:xVal>
          <c:yVal>
            <c:numRef>
              <c:f>Parameters!$CC$6:$CC$106</c:f>
              <c:numCache>
                <c:formatCode>0.00</c:formatCode>
                <c:ptCount val="101"/>
                <c:pt idx="0">
                  <c:v>0</c:v>
                </c:pt>
                <c:pt idx="1">
                  <c:v>0</c:v>
                </c:pt>
                <c:pt idx="2">
                  <c:v>0</c:v>
                </c:pt>
                <c:pt idx="3">
                  <c:v>0</c:v>
                </c:pt>
                <c:pt idx="100">
                  <c:v>0</c:v>
                </c:pt>
              </c:numCache>
            </c:numRef>
          </c:yVal>
          <c:smooth val="1"/>
        </c:ser>
        <c:dLbls>
          <c:showLegendKey val="0"/>
          <c:showVal val="0"/>
          <c:showCatName val="0"/>
          <c:showSerName val="0"/>
          <c:showPercent val="0"/>
          <c:showBubbleSize val="0"/>
        </c:dLbls>
        <c:axId val="211176832"/>
        <c:axId val="211174912"/>
      </c:scatterChart>
      <c:valAx>
        <c:axId val="211162624"/>
        <c:scaling>
          <c:logBase val="10"/>
          <c:orientation val="minMax"/>
          <c:min val="0.1"/>
        </c:scaling>
        <c:delete val="0"/>
        <c:axPos val="b"/>
        <c:majorGridlines>
          <c:spPr>
            <a:ln w="15875">
              <a:solidFill>
                <a:srgbClr val="969696"/>
              </a:solidFill>
              <a:prstDash val="sysDash"/>
            </a:ln>
          </c:spPr>
        </c:majorGridlines>
        <c:title>
          <c:tx>
            <c:rich>
              <a:bodyPr/>
              <a:lstStyle/>
              <a:p>
                <a:pPr>
                  <a:defRPr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General" sourceLinked="0"/>
        <c:majorTickMark val="in"/>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Arial" pitchFamily="34" charset="0"/>
                <a:ea typeface="Calibri"/>
                <a:cs typeface="Arial" pitchFamily="34" charset="0"/>
              </a:defRPr>
            </a:pPr>
            <a:endParaRPr lang="en-US"/>
          </a:p>
        </c:txPr>
        <c:crossAx val="211164544"/>
        <c:crosses val="autoZero"/>
        <c:crossBetween val="midCat"/>
      </c:valAx>
      <c:valAx>
        <c:axId val="211164544"/>
        <c:scaling>
          <c:orientation val="minMax"/>
          <c:max val="95"/>
          <c:min val="60"/>
        </c:scaling>
        <c:delete val="0"/>
        <c:axPos val="l"/>
        <c:majorGridlines>
          <c:spPr>
            <a:ln w="15875">
              <a:solidFill>
                <a:srgbClr val="808080"/>
              </a:solidFill>
              <a:prstDash val="solid"/>
            </a:ln>
          </c:spPr>
        </c:majorGridlines>
        <c:min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211162624"/>
        <c:crossesAt val="0"/>
        <c:crossBetween val="midCat"/>
        <c:majorUnit val="5"/>
        <c:minorUnit val="2.5"/>
      </c:valAx>
      <c:valAx>
        <c:axId val="211174912"/>
        <c:scaling>
          <c:orientation val="minMax"/>
        </c:scaling>
        <c:delete val="0"/>
        <c:axPos val="r"/>
        <c:title>
          <c:tx>
            <c:rich>
              <a:bodyPr rot="-5400000" vert="horz"/>
              <a:lstStyle/>
              <a:p>
                <a:pPr>
                  <a:defRPr sz="1400" b="1">
                    <a:solidFill>
                      <a:srgbClr val="0000FF"/>
                    </a:solidFill>
                  </a:defRPr>
                </a:pPr>
                <a:r>
                  <a:rPr lang="en-US" sz="1400" b="1">
                    <a:solidFill>
                      <a:srgbClr val="0000FF"/>
                    </a:solidFill>
                  </a:rPr>
                  <a:t>Power Loss (mW)</a:t>
                </a:r>
              </a:p>
            </c:rich>
          </c:tx>
          <c:layout>
            <c:manualLayout>
              <c:xMode val="edge"/>
              <c:yMode val="edge"/>
              <c:x val="0.95563568688189593"/>
              <c:y val="0.33988985922214265"/>
            </c:manualLayout>
          </c:layout>
          <c:overlay val="0"/>
        </c:title>
        <c:numFmt formatCode="0" sourceLinked="0"/>
        <c:majorTickMark val="out"/>
        <c:minorTickMark val="none"/>
        <c:tickLblPos val="nextTo"/>
        <c:txPr>
          <a:bodyPr/>
          <a:lstStyle/>
          <a:p>
            <a:pPr>
              <a:defRPr sz="1100" b="1">
                <a:solidFill>
                  <a:srgbClr val="0000FF"/>
                </a:solidFill>
              </a:defRPr>
            </a:pPr>
            <a:endParaRPr lang="en-US"/>
          </a:p>
        </c:txPr>
        <c:crossAx val="211176832"/>
        <c:crosses val="max"/>
        <c:crossBetween val="midCat"/>
      </c:valAx>
      <c:valAx>
        <c:axId val="211176832"/>
        <c:scaling>
          <c:logBase val="10"/>
          <c:orientation val="minMax"/>
        </c:scaling>
        <c:delete val="1"/>
        <c:axPos val="b"/>
        <c:numFmt formatCode="0.000" sourceLinked="1"/>
        <c:majorTickMark val="out"/>
        <c:minorTickMark val="none"/>
        <c:tickLblPos val="nextTo"/>
        <c:crossAx val="211174912"/>
        <c:crosses val="autoZero"/>
        <c:crossBetween val="midCat"/>
      </c:valAx>
      <c:spPr>
        <a:noFill/>
        <a:ln w="25400">
          <a:noFill/>
        </a:ln>
      </c:spPr>
    </c:plotArea>
    <c:legend>
      <c:legendPos val="t"/>
      <c:layout>
        <c:manualLayout>
          <c:xMode val="edge"/>
          <c:yMode val="edge"/>
          <c:x val="0.38866500344700727"/>
          <c:y val="1.1892546194234431E-2"/>
          <c:w val="0.61133499655299273"/>
          <c:h val="9.2790073968026715E-2"/>
        </c:manualLayout>
      </c:layout>
      <c:overlay val="0"/>
      <c:spPr>
        <a:solidFill>
          <a:srgbClr val="FFFFFF"/>
        </a:solidFill>
        <a:ln w="25400">
          <a:noFill/>
        </a:ln>
      </c:spPr>
      <c:txPr>
        <a:bodyPr/>
        <a:lstStyle/>
        <a:p>
          <a:pPr>
            <a:defRPr sz="12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paperSize="5"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dLbl>
            <c:txPr>
              <a:bodyPr/>
              <a:lstStyle/>
              <a:p>
                <a:pPr>
                  <a:defRPr sz="1200" b="1"/>
                </a:pPr>
                <a:endParaRPr lang="en-US"/>
              </a:p>
            </c:txPr>
            <c:dLblPos val="outEnd"/>
            <c:showLegendKey val="0"/>
            <c:showVal val="0"/>
            <c:showCatName val="0"/>
            <c:showSerName val="1"/>
            <c:showPercent val="0"/>
            <c:showBubbleSize val="0"/>
            <c:showLeaderLines val="0"/>
          </c:dLbls>
          <c:val>
            <c:numRef>
              <c:f>Parameters!$BA$108</c:f>
              <c:numCache>
                <c:formatCode>0.000%</c:formatCode>
                <c:ptCount val="1"/>
                <c:pt idx="0">
                  <c:v>3.6409104085968987E-3</c:v>
                </c:pt>
              </c:numCache>
            </c:numRef>
          </c:val>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dLbl>
            <c:txPr>
              <a:bodyPr/>
              <a:lstStyle/>
              <a:p>
                <a:pPr>
                  <a:defRPr sz="1200" b="1"/>
                </a:pPr>
                <a:endParaRPr lang="en-US"/>
              </a:p>
            </c:txPr>
            <c:dLblPos val="outEnd"/>
            <c:showLegendKey val="0"/>
            <c:showVal val="0"/>
            <c:showCatName val="0"/>
            <c:showSerName val="0"/>
            <c:showPercent val="0"/>
            <c:showBubbleSize val="0"/>
          </c:dLbls>
          <c:val>
            <c:numRef>
              <c:f>Parameters!$BD$108</c:f>
              <c:numCache>
                <c:formatCode>0.000%</c:formatCode>
                <c:ptCount val="1"/>
                <c:pt idx="0">
                  <c:v>4.5907837520612008E-3</c:v>
                </c:pt>
              </c:numCache>
            </c:numRef>
          </c:val>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dLbl>
            <c:txPr>
              <a:bodyPr/>
              <a:lstStyle/>
              <a:p>
                <a:pPr>
                  <a:defRPr b="1"/>
                </a:pPr>
                <a:endParaRPr lang="en-US"/>
              </a:p>
            </c:txPr>
            <c:dLblPos val="outEnd"/>
            <c:showLegendKey val="0"/>
            <c:showVal val="1"/>
            <c:showCatName val="0"/>
            <c:showSerName val="1"/>
            <c:showPercent val="0"/>
            <c:showBubbleSize val="0"/>
            <c:showLeaderLines val="0"/>
          </c:dLbls>
          <c:val>
            <c:numRef>
              <c:f>Parameters!$BB$108</c:f>
              <c:numCache>
                <c:formatCode>0.000%</c:formatCode>
                <c:ptCount val="1"/>
                <c:pt idx="0">
                  <c:v>6.5692245841190103E-3</c:v>
                </c:pt>
              </c:numCache>
            </c:numRef>
          </c:val>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dLbl>
            <c:txPr>
              <a:bodyPr/>
              <a:lstStyle/>
              <a:p>
                <a:pPr>
                  <a:defRPr sz="1200" b="1"/>
                </a:pPr>
                <a:endParaRPr lang="en-US"/>
              </a:p>
            </c:txPr>
            <c:dLblPos val="outEnd"/>
            <c:showLegendKey val="0"/>
            <c:showVal val="0"/>
            <c:showCatName val="0"/>
            <c:showSerName val="1"/>
            <c:showPercent val="0"/>
            <c:showBubbleSize val="0"/>
            <c:showLeaderLines val="0"/>
          </c:dLbls>
          <c:val>
            <c:numRef>
              <c:f>Parameters!$BF$108</c:f>
              <c:numCache>
                <c:formatCode>0.000%</c:formatCode>
                <c:ptCount val="1"/>
                <c:pt idx="0">
                  <c:v>7.3751579484765363E-4</c:v>
                </c:pt>
              </c:numCache>
            </c:numRef>
          </c:val>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dLbl>
            <c:txPr>
              <a:bodyPr rot="0" vert="horz"/>
              <a:lstStyle/>
              <a:p>
                <a:pPr>
                  <a:defRPr sz="1200" b="1"/>
                </a:pPr>
                <a:endParaRPr lang="en-US"/>
              </a:p>
            </c:txPr>
            <c:dLblPos val="outEnd"/>
            <c:showLegendKey val="0"/>
            <c:showVal val="0"/>
            <c:showCatName val="0"/>
            <c:showSerName val="0"/>
            <c:showPercent val="0"/>
            <c:showBubbleSize val="0"/>
          </c:dLbls>
          <c:val>
            <c:numRef>
              <c:f>Parameters!$BC$108</c:f>
              <c:numCache>
                <c:formatCode>0.000%</c:formatCode>
                <c:ptCount val="1"/>
                <c:pt idx="0">
                  <c:v>5.4394694205683519E-2</c:v>
                </c:pt>
              </c:numCache>
            </c:numRef>
          </c:val>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dLbl>
            <c:showLegendKey val="0"/>
            <c:showVal val="0"/>
            <c:showCatName val="0"/>
            <c:showSerName val="1"/>
            <c:showPercent val="0"/>
            <c:showBubbleSize val="0"/>
            <c:showLeaderLines val="0"/>
          </c:dLbls>
          <c:val>
            <c:numRef>
              <c:f>Parameters!$BE$108</c:f>
              <c:numCache>
                <c:formatCode>0.000%</c:formatCode>
                <c:ptCount val="1"/>
                <c:pt idx="0">
                  <c:v>0</c:v>
                </c:pt>
              </c:numCache>
            </c:numRef>
          </c:val>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dLbl>
            <c:txPr>
              <a:bodyPr/>
              <a:lstStyle/>
              <a:p>
                <a:pPr>
                  <a:defRPr sz="1200" b="1"/>
                </a:pPr>
                <a:endParaRPr lang="en-US"/>
              </a:p>
            </c:txPr>
            <c:showLegendKey val="0"/>
            <c:showVal val="0"/>
            <c:showCatName val="0"/>
            <c:showSerName val="0"/>
            <c:showPercent val="0"/>
            <c:showBubbleSize val="0"/>
          </c:dLbls>
          <c:val>
            <c:numRef>
              <c:f>Parameters!$BG$108</c:f>
              <c:numCache>
                <c:formatCode>0.000%</c:formatCode>
                <c:ptCount val="1"/>
                <c:pt idx="0">
                  <c:v>7.2151246180390156E-3</c:v>
                </c:pt>
              </c:numCache>
            </c:numRef>
          </c:val>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dLbl>
            <c:txPr>
              <a:bodyPr/>
              <a:lstStyle/>
              <a:p>
                <a:pPr>
                  <a:defRPr sz="1200" b="1"/>
                </a:pPr>
                <a:endParaRPr lang="en-US"/>
              </a:p>
            </c:txPr>
            <c:showLegendKey val="0"/>
            <c:showVal val="0"/>
            <c:showCatName val="0"/>
            <c:showSerName val="0"/>
            <c:showPercent val="0"/>
            <c:showBubbleSize val="0"/>
          </c:dLbls>
          <c:val>
            <c:numRef>
              <c:f>Parameters!$BH$108</c:f>
              <c:numCache>
                <c:formatCode>0.000%</c:formatCode>
                <c:ptCount val="1"/>
                <c:pt idx="0">
                  <c:v>1.4929120352630757E-2</c:v>
                </c:pt>
              </c:numCache>
            </c:numRef>
          </c:val>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dLbl>
            <c:numFmt formatCode="0.0E+00" sourceLinked="0"/>
            <c:spPr>
              <a:noFill/>
            </c:spPr>
            <c:txPr>
              <a:bodyPr rot="0" vert="horz" anchor="ctr" anchorCtr="0"/>
              <a:lstStyle/>
              <a:p>
                <a:pPr>
                  <a:defRPr sz="1200" b="1"/>
                </a:pPr>
                <a:endParaRPr lang="en-US"/>
              </a:p>
            </c:txPr>
            <c:showLegendKey val="0"/>
            <c:showVal val="0"/>
            <c:showCatName val="0"/>
            <c:showSerName val="0"/>
            <c:showPercent val="0"/>
            <c:showBubbleSize val="0"/>
          </c:dLbls>
          <c:val>
            <c:numRef>
              <c:f>Parameters!$BJ$108</c:f>
              <c:numCache>
                <c:formatCode>0.000%</c:formatCode>
                <c:ptCount val="1"/>
                <c:pt idx="0">
                  <c:v>8.2551506228875166E-2</c:v>
                </c:pt>
              </c:numCache>
            </c:numRef>
          </c:val>
        </c:ser>
        <c:dLbls>
          <c:showLegendKey val="0"/>
          <c:showVal val="0"/>
          <c:showCatName val="0"/>
          <c:showSerName val="0"/>
          <c:showPercent val="0"/>
          <c:showBubbleSize val="0"/>
        </c:dLbls>
        <c:gapWidth val="101"/>
        <c:overlap val="-70"/>
        <c:axId val="211282176"/>
        <c:axId val="210907136"/>
      </c:barChart>
      <c:catAx>
        <c:axId val="211282176"/>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en-US"/>
          </a:p>
        </c:txPr>
        <c:crossAx val="210907136"/>
        <c:crossesAt val="0"/>
        <c:auto val="1"/>
        <c:lblAlgn val="ctr"/>
        <c:lblOffset val="100"/>
        <c:noMultiLvlLbl val="0"/>
      </c:catAx>
      <c:valAx>
        <c:axId val="210907136"/>
        <c:scaling>
          <c:orientation val="minMax"/>
          <c:min val="0"/>
        </c:scaling>
        <c:delete val="0"/>
        <c:axPos val="l"/>
        <c:majorGridlines>
          <c:spPr>
            <a:ln>
              <a:prstDash val="lgDash"/>
            </a:ln>
          </c:spPr>
        </c:majorGridlines>
        <c:title>
          <c:tx>
            <c:rich>
              <a:bodyPr/>
              <a:lstStyle/>
              <a:p>
                <a:pPr>
                  <a:defRPr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crossAx val="211282176"/>
        <c:crosses val="autoZero"/>
        <c:crossBetween val="between"/>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255" r="0.75000000000000255"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1.1000000000000001</c:v>
                </c:pt>
                <c:pt idx="2">
                  <c:v>2.2000000000000002</c:v>
                </c:pt>
                <c:pt idx="3">
                  <c:v>3.3</c:v>
                </c:pt>
                <c:pt idx="4">
                  <c:v>4.4000000000000004</c:v>
                </c:pt>
                <c:pt idx="5">
                  <c:v>5.5000000000000009</c:v>
                </c:pt>
                <c:pt idx="6">
                  <c:v>6.6</c:v>
                </c:pt>
                <c:pt idx="7">
                  <c:v>7.7000000000000011</c:v>
                </c:pt>
                <c:pt idx="8">
                  <c:v>8.8000000000000007</c:v>
                </c:pt>
                <c:pt idx="9">
                  <c:v>9.8999999999999986</c:v>
                </c:pt>
                <c:pt idx="10">
                  <c:v>11.000000000000002</c:v>
                </c:pt>
                <c:pt idx="11">
                  <c:v>12.1</c:v>
                </c:pt>
                <c:pt idx="12">
                  <c:v>13.2</c:v>
                </c:pt>
                <c:pt idx="13">
                  <c:v>14.3</c:v>
                </c:pt>
                <c:pt idx="14">
                  <c:v>15.400000000000002</c:v>
                </c:pt>
                <c:pt idx="15">
                  <c:v>16.5</c:v>
                </c:pt>
                <c:pt idx="16">
                  <c:v>17.600000000000001</c:v>
                </c:pt>
                <c:pt idx="17">
                  <c:v>18.700000000000003</c:v>
                </c:pt>
                <c:pt idx="18">
                  <c:v>19.799999999999997</c:v>
                </c:pt>
                <c:pt idx="19">
                  <c:v>20.900000000000002</c:v>
                </c:pt>
                <c:pt idx="20">
                  <c:v>22.000000000000004</c:v>
                </c:pt>
                <c:pt idx="21">
                  <c:v>23.099999999999998</c:v>
                </c:pt>
                <c:pt idx="22">
                  <c:v>24.2</c:v>
                </c:pt>
                <c:pt idx="23">
                  <c:v>25.3</c:v>
                </c:pt>
                <c:pt idx="24">
                  <c:v>26.4</c:v>
                </c:pt>
                <c:pt idx="25">
                  <c:v>27.5</c:v>
                </c:pt>
                <c:pt idx="26">
                  <c:v>28.6</c:v>
                </c:pt>
                <c:pt idx="27">
                  <c:v>29.7</c:v>
                </c:pt>
                <c:pt idx="28">
                  <c:v>30.800000000000004</c:v>
                </c:pt>
                <c:pt idx="29">
                  <c:v>31.9</c:v>
                </c:pt>
                <c:pt idx="30">
                  <c:v>33</c:v>
                </c:pt>
                <c:pt idx="31">
                  <c:v>34.1</c:v>
                </c:pt>
                <c:pt idx="32">
                  <c:v>35.200000000000003</c:v>
                </c:pt>
                <c:pt idx="33">
                  <c:v>36.299999999999997</c:v>
                </c:pt>
                <c:pt idx="34">
                  <c:v>37.400000000000006</c:v>
                </c:pt>
                <c:pt idx="35">
                  <c:v>38.5</c:v>
                </c:pt>
                <c:pt idx="36">
                  <c:v>39.599999999999994</c:v>
                </c:pt>
                <c:pt idx="37">
                  <c:v>40.700000000000003</c:v>
                </c:pt>
                <c:pt idx="38">
                  <c:v>41.800000000000004</c:v>
                </c:pt>
                <c:pt idx="39">
                  <c:v>42.9</c:v>
                </c:pt>
                <c:pt idx="40">
                  <c:v>44.000000000000007</c:v>
                </c:pt>
                <c:pt idx="41">
                  <c:v>45.099999999999994</c:v>
                </c:pt>
                <c:pt idx="42">
                  <c:v>46.199999999999996</c:v>
                </c:pt>
                <c:pt idx="43">
                  <c:v>47.300000000000004</c:v>
                </c:pt>
                <c:pt idx="44">
                  <c:v>48.4</c:v>
                </c:pt>
                <c:pt idx="45">
                  <c:v>49.5</c:v>
                </c:pt>
                <c:pt idx="46">
                  <c:v>50.6</c:v>
                </c:pt>
                <c:pt idx="47">
                  <c:v>51.699999999999996</c:v>
                </c:pt>
                <c:pt idx="48">
                  <c:v>52.8</c:v>
                </c:pt>
                <c:pt idx="49">
                  <c:v>53.9</c:v>
                </c:pt>
                <c:pt idx="50">
                  <c:v>55</c:v>
                </c:pt>
                <c:pt idx="51">
                  <c:v>56.1</c:v>
                </c:pt>
                <c:pt idx="52">
                  <c:v>57.2</c:v>
                </c:pt>
                <c:pt idx="53">
                  <c:v>58.300000000000004</c:v>
                </c:pt>
                <c:pt idx="54">
                  <c:v>59.4</c:v>
                </c:pt>
                <c:pt idx="55">
                  <c:v>60.500000000000007</c:v>
                </c:pt>
                <c:pt idx="56">
                  <c:v>61.600000000000009</c:v>
                </c:pt>
                <c:pt idx="57">
                  <c:v>62.699999999999989</c:v>
                </c:pt>
                <c:pt idx="58">
                  <c:v>63.8</c:v>
                </c:pt>
                <c:pt idx="59">
                  <c:v>64.900000000000006</c:v>
                </c:pt>
                <c:pt idx="60">
                  <c:v>66</c:v>
                </c:pt>
                <c:pt idx="61">
                  <c:v>67.099999999999994</c:v>
                </c:pt>
                <c:pt idx="62">
                  <c:v>68.2</c:v>
                </c:pt>
                <c:pt idx="63">
                  <c:v>69.3</c:v>
                </c:pt>
                <c:pt idx="64">
                  <c:v>70.400000000000006</c:v>
                </c:pt>
                <c:pt idx="65">
                  <c:v>71.500000000000014</c:v>
                </c:pt>
                <c:pt idx="66">
                  <c:v>72.599999999999994</c:v>
                </c:pt>
                <c:pt idx="67">
                  <c:v>73.7</c:v>
                </c:pt>
                <c:pt idx="68">
                  <c:v>74.800000000000011</c:v>
                </c:pt>
                <c:pt idx="69">
                  <c:v>75.899999999999991</c:v>
                </c:pt>
                <c:pt idx="70">
                  <c:v>77</c:v>
                </c:pt>
                <c:pt idx="71">
                  <c:v>78.100000000000009</c:v>
                </c:pt>
                <c:pt idx="72">
                  <c:v>79.199999999999989</c:v>
                </c:pt>
                <c:pt idx="73">
                  <c:v>80.3</c:v>
                </c:pt>
                <c:pt idx="74">
                  <c:v>81.400000000000006</c:v>
                </c:pt>
                <c:pt idx="75">
                  <c:v>82.5</c:v>
                </c:pt>
                <c:pt idx="76">
                  <c:v>83.600000000000009</c:v>
                </c:pt>
                <c:pt idx="77">
                  <c:v>84.7</c:v>
                </c:pt>
                <c:pt idx="78">
                  <c:v>85.8</c:v>
                </c:pt>
                <c:pt idx="79">
                  <c:v>86.9</c:v>
                </c:pt>
                <c:pt idx="80">
                  <c:v>88.000000000000014</c:v>
                </c:pt>
                <c:pt idx="81">
                  <c:v>89.100000000000009</c:v>
                </c:pt>
                <c:pt idx="82">
                  <c:v>90.199999999999989</c:v>
                </c:pt>
                <c:pt idx="83">
                  <c:v>91.3</c:v>
                </c:pt>
                <c:pt idx="84">
                  <c:v>92.399999999999991</c:v>
                </c:pt>
                <c:pt idx="85">
                  <c:v>93.5</c:v>
                </c:pt>
                <c:pt idx="86">
                  <c:v>94.600000000000009</c:v>
                </c:pt>
                <c:pt idx="87">
                  <c:v>95.699999999999989</c:v>
                </c:pt>
                <c:pt idx="88">
                  <c:v>96.8</c:v>
                </c:pt>
                <c:pt idx="89">
                  <c:v>97.9</c:v>
                </c:pt>
                <c:pt idx="90">
                  <c:v>99</c:v>
                </c:pt>
                <c:pt idx="91">
                  <c:v>100.10000000000001</c:v>
                </c:pt>
                <c:pt idx="92">
                  <c:v>101.2</c:v>
                </c:pt>
                <c:pt idx="93">
                  <c:v>102.3</c:v>
                </c:pt>
                <c:pt idx="94">
                  <c:v>103.39999999999999</c:v>
                </c:pt>
                <c:pt idx="95">
                  <c:v>104.5</c:v>
                </c:pt>
                <c:pt idx="96">
                  <c:v>105.6</c:v>
                </c:pt>
                <c:pt idx="97">
                  <c:v>106.7</c:v>
                </c:pt>
                <c:pt idx="98">
                  <c:v>107.8</c:v>
                </c:pt>
                <c:pt idx="99">
                  <c:v>108.89999999999999</c:v>
                </c:pt>
                <c:pt idx="100">
                  <c:v>110</c:v>
                </c:pt>
              </c:numCache>
            </c:numRef>
          </c:cat>
          <c:val>
            <c:numRef>
              <c:f>'Calculations - Single'!$CA$5:$CA$105</c:f>
              <c:numCache>
                <c:formatCode>0.00</c:formatCode>
                <c:ptCount val="101"/>
                <c:pt idx="0">
                  <c:v>2.1962695261492615E-4</c:v>
                </c:pt>
                <c:pt idx="1">
                  <c:v>68.927545104794476</c:v>
                </c:pt>
                <c:pt idx="2">
                  <c:v>78.200470268037222</c:v>
                </c:pt>
                <c:pt idx="3">
                  <c:v>81.864952192051206</c:v>
                </c:pt>
                <c:pt idx="4">
                  <c:v>83.822376352294128</c:v>
                </c:pt>
                <c:pt idx="5">
                  <c:v>85.036063964193048</c:v>
                </c:pt>
                <c:pt idx="6">
                  <c:v>85.858882701431099</c:v>
                </c:pt>
                <c:pt idx="7">
                  <c:v>86.450701795106426</c:v>
                </c:pt>
                <c:pt idx="8">
                  <c:v>86.894487217984093</c:v>
                </c:pt>
                <c:pt idx="9">
                  <c:v>87.237590675650338</c:v>
                </c:pt>
                <c:pt idx="10">
                  <c:v>87.509014865500802</c:v>
                </c:pt>
                <c:pt idx="11">
                  <c:v>87.727521533089842</c:v>
                </c:pt>
                <c:pt idx="12">
                  <c:v>87.905788646087217</c:v>
                </c:pt>
                <c:pt idx="13">
                  <c:v>88.052694152608098</c:v>
                </c:pt>
                <c:pt idx="14">
                  <c:v>88.174642548684815</c:v>
                </c:pt>
                <c:pt idx="15">
                  <c:v>88.276371795011315</c:v>
                </c:pt>
                <c:pt idx="16">
                  <c:v>88.361463547929674</c:v>
                </c:pt>
                <c:pt idx="17">
                  <c:v>88.432676643722559</c:v>
                </c:pt>
                <c:pt idx="18">
                  <c:v>88.492171382788257</c:v>
                </c:pt>
                <c:pt idx="19">
                  <c:v>88.541664182958783</c:v>
                </c:pt>
                <c:pt idx="20">
                  <c:v>88.582536589346091</c:v>
                </c:pt>
                <c:pt idx="21">
                  <c:v>88.615913625743374</c:v>
                </c:pt>
                <c:pt idx="22">
                  <c:v>88.642721101074983</c:v>
                </c:pt>
                <c:pt idx="23">
                  <c:v>88.6637281863091</c:v>
                </c:pt>
                <c:pt idx="24">
                  <c:v>88.67957949985103</c:v>
                </c:pt>
                <c:pt idx="25">
                  <c:v>88.627534123809497</c:v>
                </c:pt>
                <c:pt idx="26">
                  <c:v>88.485023808467645</c:v>
                </c:pt>
                <c:pt idx="27">
                  <c:v>88.660601609434735</c:v>
                </c:pt>
                <c:pt idx="28">
                  <c:v>88.824536573471363</c:v>
                </c:pt>
                <c:pt idx="29">
                  <c:v>88.977937380727411</c:v>
                </c:pt>
                <c:pt idx="30">
                  <c:v>89.121775044233559</c:v>
                </c:pt>
                <c:pt idx="31">
                  <c:v>89.256903761489937</c:v>
                </c:pt>
                <c:pt idx="32">
                  <c:v>89.384078072403994</c:v>
                </c:pt>
                <c:pt idx="33">
                  <c:v>89.503967067177257</c:v>
                </c:pt>
                <c:pt idx="34">
                  <c:v>89.617166221084872</c:v>
                </c:pt>
                <c:pt idx="35">
                  <c:v>89.724207307375551</c:v>
                </c:pt>
                <c:pt idx="36">
                  <c:v>89.825566743854267</c:v>
                </c:pt>
                <c:pt idx="37">
                  <c:v>89.92167265530739</c:v>
                </c:pt>
                <c:pt idx="38">
                  <c:v>90.012910877175102</c:v>
                </c:pt>
                <c:pt idx="39">
                  <c:v>90.099630081668437</c:v>
                </c:pt>
                <c:pt idx="40">
                  <c:v>90.182146172857841</c:v>
                </c:pt>
                <c:pt idx="41">
                  <c:v>90.260746069890459</c:v>
                </c:pt>
                <c:pt idx="42">
                  <c:v>90.335690975753295</c:v>
                </c:pt>
                <c:pt idx="43">
                  <c:v>90.407219211629467</c:v>
                </c:pt>
                <c:pt idx="44">
                  <c:v>90.475548682939106</c:v>
                </c:pt>
                <c:pt idx="45">
                  <c:v>90.540879031883676</c:v>
                </c:pt>
                <c:pt idx="46">
                  <c:v>90.603393522162008</c:v>
                </c:pt>
                <c:pt idx="47">
                  <c:v>90.663260694061336</c:v>
                </c:pt>
                <c:pt idx="48">
                  <c:v>90.720635822009115</c:v>
                </c:pt>
                <c:pt idx="49">
                  <c:v>90.775662201637303</c:v>
                </c:pt>
                <c:pt idx="50">
                  <c:v>90.828472289248012</c:v>
                </c:pt>
                <c:pt idx="51">
                  <c:v>90.879188713116278</c:v>
                </c:pt>
                <c:pt idx="52">
                  <c:v>90.927925173188072</c:v>
                </c:pt>
                <c:pt idx="53">
                  <c:v>90.974787243325864</c:v>
                </c:pt>
                <c:pt idx="54">
                  <c:v>91.019873088234732</c:v>
                </c:pt>
                <c:pt idx="55">
                  <c:v>91.063274105502245</c:v>
                </c:pt>
                <c:pt idx="56">
                  <c:v>91.105075501748615</c:v>
                </c:pt>
                <c:pt idx="57">
                  <c:v>91.145356810667039</c:v>
                </c:pt>
                <c:pt idx="58">
                  <c:v>91.184192359698912</c:v>
                </c:pt>
                <c:pt idx="59">
                  <c:v>91.22165169120666</c:v>
                </c:pt>
                <c:pt idx="60">
                  <c:v>91.257799943252735</c:v>
                </c:pt>
                <c:pt idx="61">
                  <c:v>91.292698194446913</c:v>
                </c:pt>
                <c:pt idx="62">
                  <c:v>91.326403776767691</c:v>
                </c:pt>
                <c:pt idx="63">
                  <c:v>91.358970559785263</c:v>
                </c:pt>
                <c:pt idx="64">
                  <c:v>91.390449209299376</c:v>
                </c:pt>
                <c:pt idx="65">
                  <c:v>91.420887423047063</c:v>
                </c:pt>
                <c:pt idx="66">
                  <c:v>91.450330145824523</c:v>
                </c:pt>
                <c:pt idx="67">
                  <c:v>91.478819766096578</c:v>
                </c:pt>
                <c:pt idx="68">
                  <c:v>91.506396295931395</c:v>
                </c:pt>
                <c:pt idx="69">
                  <c:v>91.533097535892253</c:v>
                </c:pt>
                <c:pt idx="70">
                  <c:v>91.558959226337549</c:v>
                </c:pt>
                <c:pt idx="71">
                  <c:v>91.635630098700801</c:v>
                </c:pt>
                <c:pt idx="72">
                  <c:v>91.757327422889006</c:v>
                </c:pt>
                <c:pt idx="73">
                  <c:v>91.874847333617751</c:v>
                </c:pt>
                <c:pt idx="74">
                  <c:v>91.805142630403779</c:v>
                </c:pt>
                <c:pt idx="75">
                  <c:v>91.85195971431493</c:v>
                </c:pt>
                <c:pt idx="76">
                  <c:v>91.896599167163274</c:v>
                </c:pt>
                <c:pt idx="77">
                  <c:v>91.939155721522383</c:v>
                </c:pt>
                <c:pt idx="78">
                  <c:v>91.979718822110428</c:v>
                </c:pt>
                <c:pt idx="79">
                  <c:v>92.018372982136924</c:v>
                </c:pt>
                <c:pt idx="80">
                  <c:v>92.055198111671274</c:v>
                </c:pt>
                <c:pt idx="81">
                  <c:v>92.090269820527865</c:v>
                </c:pt>
                <c:pt idx="82">
                  <c:v>92.123659697914846</c:v>
                </c:pt>
                <c:pt idx="83">
                  <c:v>92.15543557087274</c:v>
                </c:pt>
                <c:pt idx="84">
                  <c:v>92.185661743331664</c:v>
                </c:pt>
                <c:pt idx="85">
                  <c:v>92.214399217440317</c:v>
                </c:pt>
                <c:pt idx="86">
                  <c:v>92.241705898662332</c:v>
                </c:pt>
                <c:pt idx="87">
                  <c:v>92.267636785994682</c:v>
                </c:pt>
                <c:pt idx="88">
                  <c:v>92.292244148536511</c:v>
                </c:pt>
                <c:pt idx="89">
                  <c:v>92.315577689523778</c:v>
                </c:pt>
                <c:pt idx="90">
                  <c:v>92.337684698842878</c:v>
                </c:pt>
                <c:pt idx="91">
                  <c:v>92.358610194945157</c:v>
                </c:pt>
                <c:pt idx="92">
                  <c:v>92.378397057001322</c:v>
                </c:pt>
                <c:pt idx="93">
                  <c:v>92.397086148061263</c:v>
                </c:pt>
                <c:pt idx="94">
                  <c:v>92.414716429916822</c:v>
                </c:pt>
                <c:pt idx="95">
                  <c:v>92.431325070304879</c:v>
                </c:pt>
                <c:pt idx="96">
                  <c:v>92.446947543033673</c:v>
                </c:pt>
                <c:pt idx="97">
                  <c:v>92.461617721564821</c:v>
                </c:pt>
                <c:pt idx="98">
                  <c:v>92.47536796653948</c:v>
                </c:pt>
                <c:pt idx="99">
                  <c:v>92.488229207695696</c:v>
                </c:pt>
                <c:pt idx="100">
                  <c:v>92.500231020587407</c:v>
                </c:pt>
              </c:numCache>
            </c:numRef>
          </c:val>
          <c:smooth val="0"/>
        </c:ser>
        <c:dLbls>
          <c:showLegendKey val="0"/>
          <c:showVal val="0"/>
          <c:showCatName val="0"/>
          <c:showSerName val="0"/>
          <c:showPercent val="0"/>
          <c:showBubbleSize val="0"/>
        </c:dLbls>
        <c:marker val="1"/>
        <c:smooth val="0"/>
        <c:axId val="202006912"/>
        <c:axId val="202008832"/>
      </c:lineChart>
      <c:lineChart>
        <c:grouping val="standard"/>
        <c:varyColors val="0"/>
        <c:ser>
          <c:idx val="2"/>
          <c:order val="1"/>
          <c:tx>
            <c:strRef>
              <c:f>'Calculations - Single'!$BN$3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Single'!$BQ$5:$BQ$105</c:f>
              <c:numCache>
                <c:formatCode>0.0</c:formatCode>
                <c:ptCount val="101"/>
                <c:pt idx="0">
                  <c:v>2.9999999999999999E-7</c:v>
                </c:pt>
                <c:pt idx="1">
                  <c:v>0.33</c:v>
                </c:pt>
                <c:pt idx="2">
                  <c:v>0.66</c:v>
                </c:pt>
                <c:pt idx="3">
                  <c:v>0.99</c:v>
                </c:pt>
                <c:pt idx="4">
                  <c:v>1.32</c:v>
                </c:pt>
                <c:pt idx="5">
                  <c:v>1.6500000000000001</c:v>
                </c:pt>
                <c:pt idx="6">
                  <c:v>1.98</c:v>
                </c:pt>
                <c:pt idx="7">
                  <c:v>2.3100000000000005</c:v>
                </c:pt>
                <c:pt idx="8">
                  <c:v>2.64</c:v>
                </c:pt>
                <c:pt idx="9">
                  <c:v>2.9699999999999998</c:v>
                </c:pt>
                <c:pt idx="10">
                  <c:v>3.3000000000000003</c:v>
                </c:pt>
                <c:pt idx="11">
                  <c:v>3.6299999999999994</c:v>
                </c:pt>
                <c:pt idx="12">
                  <c:v>3.96</c:v>
                </c:pt>
                <c:pt idx="13">
                  <c:v>4.2899999999999991</c:v>
                </c:pt>
                <c:pt idx="14">
                  <c:v>4.620000000000001</c:v>
                </c:pt>
                <c:pt idx="15">
                  <c:v>4.95</c:v>
                </c:pt>
                <c:pt idx="16">
                  <c:v>5.28</c:v>
                </c:pt>
                <c:pt idx="17">
                  <c:v>5.61</c:v>
                </c:pt>
                <c:pt idx="18">
                  <c:v>5.9399999999999995</c:v>
                </c:pt>
                <c:pt idx="19">
                  <c:v>6.2700000000000005</c:v>
                </c:pt>
                <c:pt idx="20">
                  <c:v>6.6000000000000005</c:v>
                </c:pt>
                <c:pt idx="21">
                  <c:v>6.93</c:v>
                </c:pt>
                <c:pt idx="22">
                  <c:v>7.2599999999999989</c:v>
                </c:pt>
                <c:pt idx="23">
                  <c:v>7.59</c:v>
                </c:pt>
                <c:pt idx="24">
                  <c:v>7.92</c:v>
                </c:pt>
                <c:pt idx="25">
                  <c:v>8.25</c:v>
                </c:pt>
                <c:pt idx="26">
                  <c:v>8.5799999999999983</c:v>
                </c:pt>
                <c:pt idx="27">
                  <c:v>8.91</c:v>
                </c:pt>
                <c:pt idx="28">
                  <c:v>9.240000000000002</c:v>
                </c:pt>
                <c:pt idx="29">
                  <c:v>9.5699999999999985</c:v>
                </c:pt>
                <c:pt idx="30">
                  <c:v>9.9</c:v>
                </c:pt>
                <c:pt idx="31">
                  <c:v>10.229999999999999</c:v>
                </c:pt>
                <c:pt idx="32">
                  <c:v>10.56</c:v>
                </c:pt>
                <c:pt idx="33">
                  <c:v>10.889999999999999</c:v>
                </c:pt>
                <c:pt idx="34">
                  <c:v>11.22</c:v>
                </c:pt>
                <c:pt idx="35">
                  <c:v>11.549999999999999</c:v>
                </c:pt>
                <c:pt idx="36">
                  <c:v>11.879999999999999</c:v>
                </c:pt>
                <c:pt idx="37">
                  <c:v>12.21</c:v>
                </c:pt>
                <c:pt idx="38">
                  <c:v>12.540000000000001</c:v>
                </c:pt>
                <c:pt idx="39">
                  <c:v>12.87</c:v>
                </c:pt>
                <c:pt idx="40">
                  <c:v>13.200000000000001</c:v>
                </c:pt>
                <c:pt idx="41">
                  <c:v>13.53</c:v>
                </c:pt>
                <c:pt idx="42">
                  <c:v>13.86</c:v>
                </c:pt>
                <c:pt idx="43">
                  <c:v>14.19</c:v>
                </c:pt>
                <c:pt idx="44">
                  <c:v>14.519999999999998</c:v>
                </c:pt>
                <c:pt idx="45">
                  <c:v>14.85</c:v>
                </c:pt>
                <c:pt idx="46">
                  <c:v>15.18</c:v>
                </c:pt>
                <c:pt idx="47">
                  <c:v>15.509999999999998</c:v>
                </c:pt>
                <c:pt idx="48">
                  <c:v>15.84</c:v>
                </c:pt>
                <c:pt idx="49">
                  <c:v>16.169999999999998</c:v>
                </c:pt>
                <c:pt idx="50">
                  <c:v>16.5</c:v>
                </c:pt>
                <c:pt idx="51">
                  <c:v>16.830000000000002</c:v>
                </c:pt>
                <c:pt idx="52">
                  <c:v>17.159999999999997</c:v>
                </c:pt>
                <c:pt idx="53">
                  <c:v>17.490000000000002</c:v>
                </c:pt>
                <c:pt idx="54">
                  <c:v>17.82</c:v>
                </c:pt>
                <c:pt idx="55">
                  <c:v>18.149999999999999</c:v>
                </c:pt>
                <c:pt idx="56">
                  <c:v>18.480000000000004</c:v>
                </c:pt>
                <c:pt idx="57">
                  <c:v>18.809999999999995</c:v>
                </c:pt>
                <c:pt idx="58">
                  <c:v>19.139999999999997</c:v>
                </c:pt>
                <c:pt idx="59">
                  <c:v>19.47</c:v>
                </c:pt>
                <c:pt idx="60">
                  <c:v>19.8</c:v>
                </c:pt>
                <c:pt idx="61">
                  <c:v>20.13</c:v>
                </c:pt>
                <c:pt idx="62">
                  <c:v>20.459999999999997</c:v>
                </c:pt>
                <c:pt idx="63">
                  <c:v>20.79</c:v>
                </c:pt>
                <c:pt idx="64">
                  <c:v>21.12</c:v>
                </c:pt>
                <c:pt idx="65">
                  <c:v>21.45</c:v>
                </c:pt>
                <c:pt idx="66">
                  <c:v>21.779999999999998</c:v>
                </c:pt>
                <c:pt idx="67">
                  <c:v>22.11</c:v>
                </c:pt>
                <c:pt idx="68">
                  <c:v>22.44</c:v>
                </c:pt>
                <c:pt idx="69">
                  <c:v>22.77</c:v>
                </c:pt>
                <c:pt idx="70">
                  <c:v>23.099999999999998</c:v>
                </c:pt>
                <c:pt idx="71">
                  <c:v>23.43</c:v>
                </c:pt>
                <c:pt idx="72">
                  <c:v>23.759999999999998</c:v>
                </c:pt>
                <c:pt idx="73">
                  <c:v>24.089999999999996</c:v>
                </c:pt>
                <c:pt idx="74">
                  <c:v>24.42</c:v>
                </c:pt>
                <c:pt idx="75">
                  <c:v>24.75</c:v>
                </c:pt>
                <c:pt idx="76">
                  <c:v>25.080000000000002</c:v>
                </c:pt>
                <c:pt idx="77">
                  <c:v>25.41</c:v>
                </c:pt>
                <c:pt idx="78">
                  <c:v>25.74</c:v>
                </c:pt>
                <c:pt idx="79">
                  <c:v>26.07</c:v>
                </c:pt>
                <c:pt idx="80">
                  <c:v>26.400000000000002</c:v>
                </c:pt>
                <c:pt idx="81">
                  <c:v>26.730000000000004</c:v>
                </c:pt>
                <c:pt idx="82">
                  <c:v>27.06</c:v>
                </c:pt>
                <c:pt idx="83">
                  <c:v>27.389999999999997</c:v>
                </c:pt>
                <c:pt idx="84">
                  <c:v>27.72</c:v>
                </c:pt>
                <c:pt idx="85">
                  <c:v>28.049999999999997</c:v>
                </c:pt>
                <c:pt idx="86">
                  <c:v>28.38</c:v>
                </c:pt>
                <c:pt idx="87">
                  <c:v>28.709999999999997</c:v>
                </c:pt>
                <c:pt idx="88">
                  <c:v>29.039999999999996</c:v>
                </c:pt>
                <c:pt idx="89">
                  <c:v>29.37</c:v>
                </c:pt>
                <c:pt idx="90">
                  <c:v>29.7</c:v>
                </c:pt>
                <c:pt idx="91">
                  <c:v>30.03</c:v>
                </c:pt>
                <c:pt idx="92">
                  <c:v>30.36</c:v>
                </c:pt>
                <c:pt idx="93">
                  <c:v>30.689999999999998</c:v>
                </c:pt>
                <c:pt idx="94">
                  <c:v>31.019999999999996</c:v>
                </c:pt>
                <c:pt idx="95">
                  <c:v>31.349999999999994</c:v>
                </c:pt>
                <c:pt idx="96">
                  <c:v>31.68</c:v>
                </c:pt>
                <c:pt idx="97">
                  <c:v>32.01</c:v>
                </c:pt>
                <c:pt idx="98">
                  <c:v>32.339999999999996</c:v>
                </c:pt>
                <c:pt idx="99">
                  <c:v>32.669999999999995</c:v>
                </c:pt>
                <c:pt idx="100">
                  <c:v>33</c:v>
                </c:pt>
              </c:numCache>
            </c:numRef>
          </c:val>
          <c:smooth val="0"/>
        </c:ser>
        <c:ser>
          <c:idx val="3"/>
          <c:order val="2"/>
          <c:tx>
            <c:strRef>
              <c:f>'Calculations - Single'!$BG$3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Single'!$BM$5:$BM$105</c:f>
              <c:numCache>
                <c:formatCode>0.0</c:formatCode>
                <c:ptCount val="101"/>
                <c:pt idx="0">
                  <c:v>5.1621122676298157</c:v>
                </c:pt>
                <c:pt idx="1">
                  <c:v>5.7503949558041132</c:v>
                </c:pt>
                <c:pt idx="2">
                  <c:v>8.021026600505321</c:v>
                </c:pt>
                <c:pt idx="3">
                  <c:v>10.291894971117818</c:v>
                </c:pt>
                <c:pt idx="4">
                  <c:v>12.563000104663505</c:v>
                </c:pt>
                <c:pt idx="5">
                  <c:v>14.834342038172018</c:v>
                </c:pt>
                <c:pt idx="6">
                  <c:v>17.105920808680708</c:v>
                </c:pt>
                <c:pt idx="7">
                  <c:v>19.37773645323465</c:v>
                </c:pt>
                <c:pt idx="8">
                  <c:v>21.649789008886636</c:v>
                </c:pt>
                <c:pt idx="9">
                  <c:v>23.922078512697215</c:v>
                </c:pt>
                <c:pt idx="10">
                  <c:v>26.194605001734637</c:v>
                </c:pt>
                <c:pt idx="11">
                  <c:v>28.467368513074895</c:v>
                </c:pt>
                <c:pt idx="12">
                  <c:v>30.740369083801721</c:v>
                </c:pt>
                <c:pt idx="13">
                  <c:v>33.013606751006563</c:v>
                </c:pt>
                <c:pt idx="14">
                  <c:v>35.287081551788646</c:v>
                </c:pt>
                <c:pt idx="15">
                  <c:v>37.560793523254887</c:v>
                </c:pt>
                <c:pt idx="16">
                  <c:v>39.834742702520003</c:v>
                </c:pt>
                <c:pt idx="17">
                  <c:v>42.108929126706414</c:v>
                </c:pt>
                <c:pt idx="18">
                  <c:v>44.383352832944261</c:v>
                </c:pt>
                <c:pt idx="19">
                  <c:v>46.658013858371518</c:v>
                </c:pt>
                <c:pt idx="20">
                  <c:v>48.932912240133838</c:v>
                </c:pt>
                <c:pt idx="21">
                  <c:v>51.208048015384641</c:v>
                </c:pt>
                <c:pt idx="22">
                  <c:v>53.483421221285127</c:v>
                </c:pt>
                <c:pt idx="23">
                  <c:v>55.75903189500422</c:v>
                </c:pt>
                <c:pt idx="24">
                  <c:v>58.034880073718632</c:v>
                </c:pt>
                <c:pt idx="25">
                  <c:v>60.593405911680215</c:v>
                </c:pt>
                <c:pt idx="26">
                  <c:v>63.522955927094451</c:v>
                </c:pt>
                <c:pt idx="27">
                  <c:v>64.315971691654141</c:v>
                </c:pt>
                <c:pt idx="28">
                  <c:v>65.103911726348969</c:v>
                </c:pt>
                <c:pt idx="29">
                  <c:v>65.887220835001003</c:v>
                </c:pt>
                <c:pt idx="30">
                  <c:v>66.666303180315367</c:v>
                </c:pt>
                <c:pt idx="31">
                  <c:v>67.441527128205024</c:v>
                </c:pt>
                <c:pt idx="32">
                  <c:v>68.213229382890688</c:v>
                </c:pt>
                <c:pt idx="33">
                  <c:v>68.981718535040258</c:v>
                </c:pt>
                <c:pt idx="34">
                  <c:v>69.74727812112512</c:v>
                </c:pt>
                <c:pt idx="35">
                  <c:v>70.510169273389295</c:v>
                </c:pt>
                <c:pt idx="36">
                  <c:v>71.270633025066303</c:v>
                </c:pt>
                <c:pt idx="37">
                  <c:v>72.028892323791524</c:v>
                </c:pt>
                <c:pt idx="38">
                  <c:v>72.785153796837889</c:v>
                </c:pt>
                <c:pt idx="39">
                  <c:v>73.539609304323633</c:v>
                </c:pt>
                <c:pt idx="40">
                  <c:v>74.292437310499309</c:v>
                </c:pt>
                <c:pt idx="41">
                  <c:v>75.043804098313686</c:v>
                </c:pt>
                <c:pt idx="42">
                  <c:v>75.793864848449317</c:v>
                </c:pt>
                <c:pt idx="43">
                  <c:v>76.542764600726258</c:v>
                </c:pt>
                <c:pt idx="44">
                  <c:v>77.290639113055192</c:v>
                </c:pt>
                <c:pt idx="45">
                  <c:v>78.037615630868373</c:v>
                </c:pt>
                <c:pt idx="46">
                  <c:v>78.783813578079474</c:v>
                </c:pt>
                <c:pt idx="47">
                  <c:v>79.529345179054317</c:v>
                </c:pt>
                <c:pt idx="48">
                  <c:v>80.274316019754409</c:v>
                </c:pt>
                <c:pt idx="49">
                  <c:v>81.018825555104115</c:v>
                </c:pt>
                <c:pt idx="50">
                  <c:v>81.762967568690684</c:v>
                </c:pt>
                <c:pt idx="51">
                  <c:v>82.506830590106119</c:v>
                </c:pt>
                <c:pt idx="52">
                  <c:v>83.25049827455905</c:v>
                </c:pt>
                <c:pt idx="53">
                  <c:v>83.994049748801856</c:v>
                </c:pt>
                <c:pt idx="54">
                  <c:v>84.737559926917271</c:v>
                </c:pt>
                <c:pt idx="55">
                  <c:v>85.481099799080013</c:v>
                </c:pt>
                <c:pt idx="56">
                  <c:v>86.224736696036118</c:v>
                </c:pt>
                <c:pt idx="57">
                  <c:v>86.968534531722554</c:v>
                </c:pt>
                <c:pt idx="58">
                  <c:v>87.712554026170352</c:v>
                </c:pt>
                <c:pt idx="59">
                  <c:v>88.456852910591707</c:v>
                </c:pt>
                <c:pt idx="60">
                  <c:v>89.201486116340632</c:v>
                </c:pt>
                <c:pt idx="61">
                  <c:v>89.946505949251616</c:v>
                </c:pt>
                <c:pt idx="62">
                  <c:v>90.691962250697983</c:v>
                </c:pt>
                <c:pt idx="63">
                  <c:v>91.437902546570683</c:v>
                </c:pt>
                <c:pt idx="64">
                  <c:v>92.18437218525176</c:v>
                </c:pt>
                <c:pt idx="65">
                  <c:v>92.93141446554732</c:v>
                </c:pt>
                <c:pt idx="66">
                  <c:v>93.679070755446091</c:v>
                </c:pt>
                <c:pt idx="67">
                  <c:v>94.427380602484504</c:v>
                </c:pt>
                <c:pt idx="68">
                  <c:v>95.176381836421541</c:v>
                </c:pt>
                <c:pt idx="69">
                  <c:v>95.926110664858911</c:v>
                </c:pt>
                <c:pt idx="70">
                  <c:v>96.676601762381353</c:v>
                </c:pt>
                <c:pt idx="71">
                  <c:v>96.741290678631941</c:v>
                </c:pt>
                <c:pt idx="72">
                  <c:v>96.173457851255421</c:v>
                </c:pt>
                <c:pt idx="73">
                  <c:v>95.621751568082288</c:v>
                </c:pt>
                <c:pt idx="74">
                  <c:v>97.163025076517229</c:v>
                </c:pt>
                <c:pt idx="75">
                  <c:v>97.393286734893152</c:v>
                </c:pt>
                <c:pt idx="76">
                  <c:v>97.64064835270122</c:v>
                </c:pt>
                <c:pt idx="77">
                  <c:v>97.9047628258337</c:v>
                </c:pt>
                <c:pt idx="78">
                  <c:v>98.185301459414106</c:v>
                </c:pt>
                <c:pt idx="79">
                  <c:v>98.481952811403005</c:v>
                </c:pt>
                <c:pt idx="80">
                  <c:v>98.794421622967178</c:v>
                </c:pt>
                <c:pt idx="81">
                  <c:v>99.122427828114979</c:v>
                </c:pt>
                <c:pt idx="82">
                  <c:v>99.465705635831824</c:v>
                </c:pt>
                <c:pt idx="83">
                  <c:v>99.824002678601261</c:v>
                </c:pt>
                <c:pt idx="84">
                  <c:v>100.1970792217809</c:v>
                </c:pt>
                <c:pt idx="85">
                  <c:v>100.58470742882129</c:v>
                </c:pt>
                <c:pt idx="86">
                  <c:v>100.98667067778341</c:v>
                </c:pt>
                <c:pt idx="87">
                  <c:v>101.40276292502747</c:v>
                </c:pt>
                <c:pt idx="88">
                  <c:v>101.83278811232199</c:v>
                </c:pt>
                <c:pt idx="89">
                  <c:v>102.27655961395708</c:v>
                </c:pt>
                <c:pt idx="90">
                  <c:v>102.7338997207529</c:v>
                </c:pt>
                <c:pt idx="91">
                  <c:v>103.20463915812388</c:v>
                </c:pt>
                <c:pt idx="92">
                  <c:v>103.68861663560958</c:v>
                </c:pt>
                <c:pt idx="93">
                  <c:v>104.18567842550276</c:v>
                </c:pt>
                <c:pt idx="94">
                  <c:v>104.69567796840957</c:v>
                </c:pt>
                <c:pt idx="95">
                  <c:v>105.21847550375728</c:v>
                </c:pt>
                <c:pt idx="96">
                  <c:v>105.75393772343064</c:v>
                </c:pt>
                <c:pt idx="97">
                  <c:v>106.30193744686923</c:v>
                </c:pt>
                <c:pt idx="98">
                  <c:v>106.86235331609214</c:v>
                </c:pt>
                <c:pt idx="99">
                  <c:v>107.43506950924274</c:v>
                </c:pt>
                <c:pt idx="100">
                  <c:v>108.01997547135635</c:v>
                </c:pt>
              </c:numCache>
            </c:numRef>
          </c:val>
          <c:smooth val="0"/>
        </c:ser>
        <c:ser>
          <c:idx val="1"/>
          <c:order val="3"/>
          <c:tx>
            <c:strRef>
              <c:f>'Calculations - Single'!$BR$3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Single'!$BW$5:$BW$105</c:f>
              <c:numCache>
                <c:formatCode>0.0</c:formatCode>
                <c:ptCount val="101"/>
                <c:pt idx="0">
                  <c:v>5.7654839790520906</c:v>
                </c:pt>
                <c:pt idx="1">
                  <c:v>5.8206934695308865</c:v>
                </c:pt>
                <c:pt idx="2">
                  <c:v>6.0377489503635537</c:v>
                </c:pt>
                <c:pt idx="3">
                  <c:v>6.2628020931406896</c:v>
                </c:pt>
                <c:pt idx="4">
                  <c:v>6.4976802284464448</c:v>
                </c:pt>
                <c:pt idx="5">
                  <c:v>6.7439150641116701</c:v>
                </c:pt>
                <c:pt idx="6">
                  <c:v>7.0028531144858785</c:v>
                </c:pt>
                <c:pt idx="7">
                  <c:v>7.2757104161587112</c:v>
                </c:pt>
                <c:pt idx="8">
                  <c:v>7.563604551262074</c:v>
                </c:pt>
                <c:pt idx="9">
                  <c:v>7.8675753472972243</c:v>
                </c:pt>
                <c:pt idx="10">
                  <c:v>8.1885991867269681</c:v>
                </c:pt>
                <c:pt idx="11">
                  <c:v>8.5275993933355601</c:v>
                </c:pt>
                <c:pt idx="12">
                  <c:v>8.8854540563005688</c:v>
                </c:pt>
                <c:pt idx="13">
                  <c:v>9.2630020993536295</c:v>
                </c:pt>
                <c:pt idx="14">
                  <c:v>9.6610481017325363</c:v>
                </c:pt>
                <c:pt idx="15">
                  <c:v>10.080366203564413</c:v>
                </c:pt>
                <c:pt idx="16">
                  <c:v>10.521703322254927</c:v>
                </c:pt>
                <c:pt idx="17">
                  <c:v>10.985781839043064</c:v>
                </c:pt>
                <c:pt idx="18">
                  <c:v>11.473301870486928</c:v>
                </c:pt>
                <c:pt idx="19">
                  <c:v>11.984943209517734</c:v>
                </c:pt>
                <c:pt idx="20">
                  <c:v>12.521366999712439</c:v>
                </c:pt>
                <c:pt idx="21">
                  <c:v>13.083217191482259</c:v>
                </c:pt>
                <c:pt idx="22">
                  <c:v>13.671121818004037</c:v>
                </c:pt>
                <c:pt idx="23">
                  <c:v>14.285694120678995</c:v>
                </c:pt>
                <c:pt idx="24">
                  <c:v>14.927533547857301</c:v>
                </c:pt>
                <c:pt idx="25">
                  <c:v>15.846160964911018</c:v>
                </c:pt>
                <c:pt idx="26">
                  <c:v>17.221534451936709</c:v>
                </c:pt>
                <c:pt idx="27">
                  <c:v>17.938796266956214</c:v>
                </c:pt>
                <c:pt idx="28">
                  <c:v>18.658572537185115</c:v>
                </c:pt>
                <c:pt idx="29">
                  <c:v>19.380796202949281</c:v>
                </c:pt>
                <c:pt idx="30">
                  <c:v>20.105404274915337</c:v>
                </c:pt>
                <c:pt idx="31">
                  <c:v>20.832337459018394</c:v>
                </c:pt>
                <c:pt idx="32">
                  <c:v>21.561539826995585</c:v>
                </c:pt>
                <c:pt idx="33">
                  <c:v>22.292958525720838</c:v>
                </c:pt>
                <c:pt idx="34">
                  <c:v>23.026543519728328</c:v>
                </c:pt>
                <c:pt idx="35">
                  <c:v>23.7622473622658</c:v>
                </c:pt>
                <c:pt idx="36">
                  <c:v>24.500024990987864</c:v>
                </c:pt>
                <c:pt idx="37">
                  <c:v>25.239833545023806</c:v>
                </c:pt>
                <c:pt idx="38">
                  <c:v>25.981632200664073</c:v>
                </c:pt>
                <c:pt idx="39">
                  <c:v>26.725382023328052</c:v>
                </c:pt>
                <c:pt idx="40">
                  <c:v>27.471045833822632</c:v>
                </c:pt>
                <c:pt idx="41">
                  <c:v>28.218588087187268</c:v>
                </c:pt>
                <c:pt idx="42">
                  <c:v>28.967974762662244</c:v>
                </c:pt>
                <c:pt idx="43">
                  <c:v>29.719173263517135</c:v>
                </c:pt>
                <c:pt idx="44">
                  <c:v>30.472152325646469</c:v>
                </c:pt>
                <c:pt idx="45">
                  <c:v>31.226881933982806</c:v>
                </c:pt>
                <c:pt idx="46">
                  <c:v>31.98333324589909</c:v>
                </c:pt>
                <c:pt idx="47">
                  <c:v>32.74147852087625</c:v>
                </c:pt>
                <c:pt idx="48">
                  <c:v>33.501291055800685</c:v>
                </c:pt>
                <c:pt idx="49">
                  <c:v>34.262745125332856</c:v>
                </c:pt>
                <c:pt idx="50">
                  <c:v>35.025815926853667</c:v>
                </c:pt>
                <c:pt idx="51">
                  <c:v>35.79047952955262</c:v>
                </c:pt>
                <c:pt idx="52">
                  <c:v>36.55671282727063</c:v>
                </c:pt>
                <c:pt idx="53">
                  <c:v>37.324493494753703</c:v>
                </c:pt>
                <c:pt idx="54">
                  <c:v>38.093799947010744</c:v>
                </c:pt>
                <c:pt idx="55">
                  <c:v>38.864611301501832</c:v>
                </c:pt>
                <c:pt idx="56">
                  <c:v>39.636907342911684</c:v>
                </c:pt>
                <c:pt idx="57">
                  <c:v>40.410668490288444</c:v>
                </c:pt>
                <c:pt idx="58">
                  <c:v>41.185875766350577</c:v>
                </c:pt>
                <c:pt idx="59">
                  <c:v>41.962510768782856</c:v>
                </c:pt>
                <c:pt idx="60">
                  <c:v>42.740555643362129</c:v>
                </c:pt>
                <c:pt idx="61">
                  <c:v>43.519993058766708</c:v>
                </c:pt>
                <c:pt idx="62">
                  <c:v>44.300806182938352</c:v>
                </c:pt>
                <c:pt idx="63">
                  <c:v>45.082978660877536</c:v>
                </c:pt>
                <c:pt idx="64">
                  <c:v>45.866494593763726</c:v>
                </c:pt>
                <c:pt idx="65">
                  <c:v>46.651338519301866</c:v>
                </c:pt>
                <c:pt idx="66">
                  <c:v>47.437495393205701</c:v>
                </c:pt>
                <c:pt idx="67">
                  <c:v>48.224950571735413</c:v>
                </c:pt>
                <c:pt idx="68">
                  <c:v>49.013689795214965</c:v>
                </c:pt>
                <c:pt idx="69">
                  <c:v>49.803699172460689</c:v>
                </c:pt>
                <c:pt idx="70">
                  <c:v>50.594965166057754</c:v>
                </c:pt>
                <c:pt idx="71">
                  <c:v>50.921273710440516</c:v>
                </c:pt>
                <c:pt idx="72">
                  <c:v>50.817723276370188</c:v>
                </c:pt>
                <c:pt idx="73">
                  <c:v>50.724387082481549</c:v>
                </c:pt>
                <c:pt idx="74">
                  <c:v>52.80234047642719</c:v>
                </c:pt>
                <c:pt idx="75">
                  <c:v>53.499343164729162</c:v>
                </c:pt>
                <c:pt idx="76">
                  <c:v>54.202802333743968</c:v>
                </c:pt>
                <c:pt idx="77">
                  <c:v>54.912719476936807</c:v>
                </c:pt>
                <c:pt idx="78">
                  <c:v>55.629096107848085</c:v>
                </c:pt>
                <c:pt idx="79">
                  <c:v>56.351933760105183</c:v>
                </c:pt>
                <c:pt idx="80">
                  <c:v>57.081233987434281</c:v>
                </c:pt>
                <c:pt idx="81">
                  <c:v>57.81699836367234</c:v>
                </c:pt>
                <c:pt idx="82">
                  <c:v>58.559228482779496</c:v>
                </c:pt>
                <c:pt idx="83">
                  <c:v>59.30792595885093</c:v>
                </c:pt>
                <c:pt idx="84">
                  <c:v>60.063092426129828</c:v>
                </c:pt>
                <c:pt idx="85">
                  <c:v>60.824729539019501</c:v>
                </c:pt>
                <c:pt idx="86">
                  <c:v>61.592838972096793</c:v>
                </c:pt>
                <c:pt idx="87">
                  <c:v>62.367422420124214</c:v>
                </c:pt>
                <c:pt idx="88">
                  <c:v>63.148481598063896</c:v>
                </c:pt>
                <c:pt idx="89">
                  <c:v>63.936018241090352</c:v>
                </c:pt>
                <c:pt idx="90">
                  <c:v>64.730034104603845</c:v>
                </c:pt>
                <c:pt idx="91">
                  <c:v>65.530530964244292</c:v>
                </c:pt>
                <c:pt idx="92">
                  <c:v>66.33751061590489</c:v>
                </c:pt>
                <c:pt idx="93">
                  <c:v>67.150974875745817</c:v>
                </c:pt>
                <c:pt idx="94">
                  <c:v>67.970925580208373</c:v>
                </c:pt>
                <c:pt idx="95">
                  <c:v>68.797364586029616</c:v>
                </c:pt>
                <c:pt idx="96">
                  <c:v>69.630293770255989</c:v>
                </c:pt>
                <c:pt idx="97">
                  <c:v>70.469715030258556</c:v>
                </c:pt>
                <c:pt idx="98">
                  <c:v>71.315630283747225</c:v>
                </c:pt>
                <c:pt idx="99">
                  <c:v>72.168041468785944</c:v>
                </c:pt>
                <c:pt idx="100">
                  <c:v>73.026950543807402</c:v>
                </c:pt>
              </c:numCache>
            </c:numRef>
          </c:val>
          <c:smooth val="0"/>
        </c:ser>
        <c:dLbls>
          <c:showLegendKey val="0"/>
          <c:showVal val="0"/>
          <c:showCatName val="0"/>
          <c:showSerName val="0"/>
          <c:showPercent val="0"/>
          <c:showBubbleSize val="0"/>
        </c:dLbls>
        <c:marker val="1"/>
        <c:smooth val="0"/>
        <c:axId val="202017024"/>
        <c:axId val="202015104"/>
      </c:lineChart>
      <c:catAx>
        <c:axId val="202006912"/>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en-US"/>
          </a:p>
        </c:txPr>
        <c:crossAx val="202008832"/>
        <c:crosses val="autoZero"/>
        <c:auto val="1"/>
        <c:lblAlgn val="ctr"/>
        <c:lblOffset val="100"/>
        <c:tickLblSkip val="20"/>
        <c:tickMarkSkip val="20"/>
        <c:noMultiLvlLbl val="0"/>
      </c:catAx>
      <c:valAx>
        <c:axId val="202008832"/>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202006912"/>
        <c:crossesAt val="0"/>
        <c:crossBetween val="between"/>
        <c:majorUnit val="5"/>
        <c:minorUnit val="2.5"/>
      </c:valAx>
      <c:valAx>
        <c:axId val="202015104"/>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en-US"/>
          </a:p>
        </c:txPr>
        <c:crossAx val="202017024"/>
        <c:crosses val="max"/>
        <c:crossBetween val="between"/>
      </c:valAx>
      <c:catAx>
        <c:axId val="202017024"/>
        <c:scaling>
          <c:orientation val="minMax"/>
        </c:scaling>
        <c:delete val="1"/>
        <c:axPos val="b"/>
        <c:numFmt formatCode="General" sourceLinked="1"/>
        <c:majorTickMark val="out"/>
        <c:minorTickMark val="none"/>
        <c:tickLblPos val="nextTo"/>
        <c:crossAx val="202015104"/>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4467583520385743"/>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19.000000000000004</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38.000000000000007</c:v>
                </c:pt>
                <c:pt idx="39">
                  <c:v>39</c:v>
                </c:pt>
                <c:pt idx="40">
                  <c:v>40</c:v>
                </c:pt>
                <c:pt idx="41">
                  <c:v>40.999999999999993</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71.000000000000014</c:v>
                </c:pt>
                <c:pt idx="72">
                  <c:v>72</c:v>
                </c:pt>
                <c:pt idx="73">
                  <c:v>73</c:v>
                </c:pt>
                <c:pt idx="74">
                  <c:v>74</c:v>
                </c:pt>
                <c:pt idx="75">
                  <c:v>75</c:v>
                </c:pt>
                <c:pt idx="76">
                  <c:v>76.000000000000014</c:v>
                </c:pt>
                <c:pt idx="77">
                  <c:v>77</c:v>
                </c:pt>
                <c:pt idx="78">
                  <c:v>78</c:v>
                </c:pt>
                <c:pt idx="79">
                  <c:v>79</c:v>
                </c:pt>
                <c:pt idx="80">
                  <c:v>80</c:v>
                </c:pt>
                <c:pt idx="81">
                  <c:v>81.000000000000014</c:v>
                </c:pt>
                <c:pt idx="82">
                  <c:v>81.999999999999986</c:v>
                </c:pt>
                <c:pt idx="83">
                  <c:v>83</c:v>
                </c:pt>
                <c:pt idx="84">
                  <c:v>84</c:v>
                </c:pt>
                <c:pt idx="85">
                  <c:v>85</c:v>
                </c:pt>
                <c:pt idx="86">
                  <c:v>86</c:v>
                </c:pt>
                <c:pt idx="87">
                  <c:v>86.999999999999986</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Dual'!$CA$5:$CA$105</c:f>
              <c:numCache>
                <c:formatCode>0.00</c:formatCode>
                <c:ptCount val="101"/>
                <c:pt idx="0">
                  <c:v>1.8074029203527515E-4</c:v>
                </c:pt>
                <c:pt idx="1">
                  <c:v>70.140874984579668</c:v>
                </c:pt>
                <c:pt idx="2">
                  <c:v>80.297243782651549</c:v>
                </c:pt>
                <c:pt idx="3">
                  <c:v>84.365584204187584</c:v>
                </c:pt>
                <c:pt idx="4">
                  <c:v>86.554624715306588</c:v>
                </c:pt>
                <c:pt idx="5">
                  <c:v>87.919879096648742</c:v>
                </c:pt>
                <c:pt idx="6">
                  <c:v>88.850849247391267</c:v>
                </c:pt>
                <c:pt idx="7">
                  <c:v>89.524772293950278</c:v>
                </c:pt>
                <c:pt idx="8">
                  <c:v>90.033888896967412</c:v>
                </c:pt>
                <c:pt idx="9">
                  <c:v>90.43094635086635</c:v>
                </c:pt>
                <c:pt idx="10">
                  <c:v>90.748295642995231</c:v>
                </c:pt>
                <c:pt idx="11">
                  <c:v>91.006883818099482</c:v>
                </c:pt>
                <c:pt idx="12">
                  <c:v>91.220873999207882</c:v>
                </c:pt>
                <c:pt idx="13">
                  <c:v>91.40018749233343</c:v>
                </c:pt>
                <c:pt idx="14">
                  <c:v>91.488297881030689</c:v>
                </c:pt>
                <c:pt idx="15">
                  <c:v>91.396770663982892</c:v>
                </c:pt>
                <c:pt idx="16">
                  <c:v>91.300413619397233</c:v>
                </c:pt>
                <c:pt idx="17">
                  <c:v>91.199496205199893</c:v>
                </c:pt>
                <c:pt idx="18">
                  <c:v>91.094183087863428</c:v>
                </c:pt>
                <c:pt idx="19">
                  <c:v>90.984564855014</c:v>
                </c:pt>
                <c:pt idx="20">
                  <c:v>90.870679169230385</c:v>
                </c:pt>
                <c:pt idx="21">
                  <c:v>90.752525625400608</c:v>
                </c:pt>
                <c:pt idx="22">
                  <c:v>90.630076369640292</c:v>
                </c:pt>
                <c:pt idx="23">
                  <c:v>90.503283809454643</c:v>
                </c:pt>
                <c:pt idx="24">
                  <c:v>90.37208629280093</c:v>
                </c:pt>
                <c:pt idx="25">
                  <c:v>90.236412346565004</c:v>
                </c:pt>
                <c:pt idx="26">
                  <c:v>90.113514212387415</c:v>
                </c:pt>
                <c:pt idx="27">
                  <c:v>90.220075491671793</c:v>
                </c:pt>
                <c:pt idx="28">
                  <c:v>90.319618465911631</c:v>
                </c:pt>
                <c:pt idx="29">
                  <c:v>90.412818167562307</c:v>
                </c:pt>
                <c:pt idx="30">
                  <c:v>90.500264630510401</c:v>
                </c:pt>
                <c:pt idx="31">
                  <c:v>90.582475957388425</c:v>
                </c:pt>
                <c:pt idx="32">
                  <c:v>90.659909036844354</c:v>
                </c:pt>
                <c:pt idx="33">
                  <c:v>90.732968391063736</c:v>
                </c:pt>
                <c:pt idx="34">
                  <c:v>90.802013524582193</c:v>
                </c:pt>
                <c:pt idx="35">
                  <c:v>90.867365063403142</c:v>
                </c:pt>
                <c:pt idx="36">
                  <c:v>90.929309911298134</c:v>
                </c:pt>
                <c:pt idx="37">
                  <c:v>91.000943707463875</c:v>
                </c:pt>
                <c:pt idx="38">
                  <c:v>91.211773137493111</c:v>
                </c:pt>
                <c:pt idx="39">
                  <c:v>91.408715324596329</c:v>
                </c:pt>
                <c:pt idx="40">
                  <c:v>91.592991958692252</c:v>
                </c:pt>
                <c:pt idx="41">
                  <c:v>91.765692528268701</c:v>
                </c:pt>
                <c:pt idx="42">
                  <c:v>91.927791095530168</c:v>
                </c:pt>
                <c:pt idx="43">
                  <c:v>92.080160652810122</c:v>
                </c:pt>
                <c:pt idx="44">
                  <c:v>92.223585447722826</c:v>
                </c:pt>
                <c:pt idx="45">
                  <c:v>92.358771596729056</c:v>
                </c:pt>
                <c:pt idx="46">
                  <c:v>92.486356251774353</c:v>
                </c:pt>
                <c:pt idx="47">
                  <c:v>92.60691553985707</c:v>
                </c:pt>
                <c:pt idx="48">
                  <c:v>92.720971458773775</c:v>
                </c:pt>
                <c:pt idx="49">
                  <c:v>92.828997882273057</c:v>
                </c:pt>
                <c:pt idx="50">
                  <c:v>92.931425803152422</c:v>
                </c:pt>
                <c:pt idx="51">
                  <c:v>93.028647922450432</c:v>
                </c:pt>
                <c:pt idx="52">
                  <c:v>93.121022676007442</c:v>
                </c:pt>
                <c:pt idx="53">
                  <c:v>93.208877775649029</c:v>
                </c:pt>
                <c:pt idx="54">
                  <c:v>93.292513330564191</c:v>
                </c:pt>
                <c:pt idx="55">
                  <c:v>93.372204604689841</c:v>
                </c:pt>
                <c:pt idx="56">
                  <c:v>93.448204457731123</c:v>
                </c:pt>
                <c:pt idx="57">
                  <c:v>93.520745510571047</c:v>
                </c:pt>
                <c:pt idx="58">
                  <c:v>93.590042070027991</c:v>
                </c:pt>
                <c:pt idx="59">
                  <c:v>93.656291843021606</c:v>
                </c:pt>
                <c:pt idx="60">
                  <c:v>93.719677466058428</c:v>
                </c:pt>
                <c:pt idx="61">
                  <c:v>93.780367872423696</c:v>
                </c:pt>
                <c:pt idx="62">
                  <c:v>93.838519516463961</c:v>
                </c:pt>
                <c:pt idx="63">
                  <c:v>93.894277471782885</c:v>
                </c:pt>
                <c:pt idx="64">
                  <c:v>93.947776417980407</c:v>
                </c:pt>
                <c:pt idx="65">
                  <c:v>93.999141528685044</c:v>
                </c:pt>
                <c:pt idx="66">
                  <c:v>94.04848927201293</c:v>
                </c:pt>
                <c:pt idx="67">
                  <c:v>94.095928133195457</c:v>
                </c:pt>
                <c:pt idx="68">
                  <c:v>94.14155926791544</c:v>
                </c:pt>
                <c:pt idx="69">
                  <c:v>94.185477093852185</c:v>
                </c:pt>
                <c:pt idx="70">
                  <c:v>94.22776982703526</c:v>
                </c:pt>
                <c:pt idx="71">
                  <c:v>94.268519968823696</c:v>
                </c:pt>
                <c:pt idx="72">
                  <c:v>94.307804748647357</c:v>
                </c:pt>
                <c:pt idx="73">
                  <c:v>94.345696527052795</c:v>
                </c:pt>
                <c:pt idx="74">
                  <c:v>91.206331725848159</c:v>
                </c:pt>
                <c:pt idx="75">
                  <c:v>91.179851215173358</c:v>
                </c:pt>
                <c:pt idx="76">
                  <c:v>91.152458055962953</c:v>
                </c:pt>
                <c:pt idx="77">
                  <c:v>91.124190085418192</c:v>
                </c:pt>
                <c:pt idx="78">
                  <c:v>91.095082982150032</c:v>
                </c:pt>
                <c:pt idx="79">
                  <c:v>91.065170412359066</c:v>
                </c:pt>
                <c:pt idx="80">
                  <c:v>91.034484164373026</c:v>
                </c:pt>
                <c:pt idx="81">
                  <c:v>91.003054272600878</c:v>
                </c:pt>
                <c:pt idx="82">
                  <c:v>90.970909131855421</c:v>
                </c:pt>
                <c:pt idx="83">
                  <c:v>90.938075602899133</c:v>
                </c:pt>
                <c:pt idx="84">
                  <c:v>90.904579109984226</c:v>
                </c:pt>
                <c:pt idx="85">
                  <c:v>90.870443731080499</c:v>
                </c:pt>
                <c:pt idx="86">
                  <c:v>90.83569228141836</c:v>
                </c:pt>
                <c:pt idx="87">
                  <c:v>90.800346390913134</c:v>
                </c:pt>
                <c:pt idx="88">
                  <c:v>90.764426575983194</c:v>
                </c:pt>
                <c:pt idx="89">
                  <c:v>90.727952306226399</c:v>
                </c:pt>
                <c:pt idx="90">
                  <c:v>90.690942066375797</c:v>
                </c:pt>
                <c:pt idx="91">
                  <c:v>90.65341341391705</c:v>
                </c:pt>
                <c:pt idx="92">
                  <c:v>90.61538303271503</c:v>
                </c:pt>
                <c:pt idx="93">
                  <c:v>90.576866782966064</c:v>
                </c:pt>
                <c:pt idx="94">
                  <c:v>90.537879747763554</c:v>
                </c:pt>
                <c:pt idx="95">
                  <c:v>90.498436276539962</c:v>
                </c:pt>
                <c:pt idx="96">
                  <c:v>90.458550025624731</c:v>
                </c:pt>
                <c:pt idx="97">
                  <c:v>90.418233996137374</c:v>
                </c:pt>
                <c:pt idx="98">
                  <c:v>90.377500569415758</c:v>
                </c:pt>
                <c:pt idx="99">
                  <c:v>90.336361540163267</c:v>
                </c:pt>
                <c:pt idx="100">
                  <c:v>90.294828147482761</c:v>
                </c:pt>
              </c:numCache>
            </c:numRef>
          </c:val>
          <c:smooth val="0"/>
        </c:ser>
        <c:dLbls>
          <c:showLegendKey val="0"/>
          <c:showVal val="0"/>
          <c:showCatName val="0"/>
          <c:showSerName val="0"/>
          <c:showPercent val="0"/>
          <c:showBubbleSize val="0"/>
        </c:dLbls>
        <c:marker val="1"/>
        <c:smooth val="0"/>
        <c:axId val="211899904"/>
        <c:axId val="211901824"/>
      </c:lineChart>
      <c:lineChart>
        <c:grouping val="standard"/>
        <c:varyColors val="0"/>
        <c:ser>
          <c:idx val="2"/>
          <c:order val="1"/>
          <c:tx>
            <c:strRef>
              <c:f>'Calculations - Dual'!$BL$3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Dual'!$BP$5:$BP$105</c:f>
              <c:numCache>
                <c:formatCode>0.0</c:formatCode>
                <c:ptCount val="101"/>
                <c:pt idx="0">
                  <c:v>5.9999999999999997E-7</c:v>
                </c:pt>
                <c:pt idx="1">
                  <c:v>0.92999999999999994</c:v>
                </c:pt>
                <c:pt idx="2">
                  <c:v>1.8599999999999999</c:v>
                </c:pt>
                <c:pt idx="3">
                  <c:v>2.79</c:v>
                </c:pt>
                <c:pt idx="4">
                  <c:v>3.7199999999999998</c:v>
                </c:pt>
                <c:pt idx="5">
                  <c:v>4.6500000000000004</c:v>
                </c:pt>
                <c:pt idx="6">
                  <c:v>5.58</c:v>
                </c:pt>
                <c:pt idx="7">
                  <c:v>6.5100000000000007</c:v>
                </c:pt>
                <c:pt idx="8">
                  <c:v>7.4399999999999995</c:v>
                </c:pt>
                <c:pt idx="9">
                  <c:v>8.3699999999999992</c:v>
                </c:pt>
                <c:pt idx="10">
                  <c:v>9.3000000000000007</c:v>
                </c:pt>
                <c:pt idx="11">
                  <c:v>10.229999999999999</c:v>
                </c:pt>
                <c:pt idx="12">
                  <c:v>11.16</c:v>
                </c:pt>
                <c:pt idx="13">
                  <c:v>12.09</c:v>
                </c:pt>
                <c:pt idx="14">
                  <c:v>13.020000000000001</c:v>
                </c:pt>
                <c:pt idx="15">
                  <c:v>13.950000000000001</c:v>
                </c:pt>
                <c:pt idx="16">
                  <c:v>14.879999999999999</c:v>
                </c:pt>
                <c:pt idx="17">
                  <c:v>15.81</c:v>
                </c:pt>
                <c:pt idx="18">
                  <c:v>16.739999999999998</c:v>
                </c:pt>
                <c:pt idx="19">
                  <c:v>17.670000000000002</c:v>
                </c:pt>
                <c:pt idx="20">
                  <c:v>18.600000000000001</c:v>
                </c:pt>
                <c:pt idx="21">
                  <c:v>19.529999999999998</c:v>
                </c:pt>
                <c:pt idx="22">
                  <c:v>20.459999999999997</c:v>
                </c:pt>
                <c:pt idx="23">
                  <c:v>21.39</c:v>
                </c:pt>
                <c:pt idx="24">
                  <c:v>22.32</c:v>
                </c:pt>
                <c:pt idx="25">
                  <c:v>23.25</c:v>
                </c:pt>
                <c:pt idx="26">
                  <c:v>24.18</c:v>
                </c:pt>
                <c:pt idx="27">
                  <c:v>25.11</c:v>
                </c:pt>
                <c:pt idx="28">
                  <c:v>26.040000000000003</c:v>
                </c:pt>
                <c:pt idx="29">
                  <c:v>26.97</c:v>
                </c:pt>
                <c:pt idx="30">
                  <c:v>27.900000000000002</c:v>
                </c:pt>
                <c:pt idx="31">
                  <c:v>28.83</c:v>
                </c:pt>
                <c:pt idx="32">
                  <c:v>29.759999999999998</c:v>
                </c:pt>
                <c:pt idx="33">
                  <c:v>30.69</c:v>
                </c:pt>
                <c:pt idx="34">
                  <c:v>31.62</c:v>
                </c:pt>
                <c:pt idx="35">
                  <c:v>32.549999999999997</c:v>
                </c:pt>
                <c:pt idx="36">
                  <c:v>33.479999999999997</c:v>
                </c:pt>
                <c:pt idx="37">
                  <c:v>34.409999999999997</c:v>
                </c:pt>
                <c:pt idx="38">
                  <c:v>35.340000000000003</c:v>
                </c:pt>
                <c:pt idx="39">
                  <c:v>36.270000000000003</c:v>
                </c:pt>
                <c:pt idx="40">
                  <c:v>37.200000000000003</c:v>
                </c:pt>
                <c:pt idx="41">
                  <c:v>38.129999999999995</c:v>
                </c:pt>
                <c:pt idx="42">
                  <c:v>39.059999999999995</c:v>
                </c:pt>
                <c:pt idx="43">
                  <c:v>39.989999999999995</c:v>
                </c:pt>
                <c:pt idx="44">
                  <c:v>40.919999999999995</c:v>
                </c:pt>
                <c:pt idx="45">
                  <c:v>41.850000000000009</c:v>
                </c:pt>
                <c:pt idx="46">
                  <c:v>42.78</c:v>
                </c:pt>
                <c:pt idx="47">
                  <c:v>43.71</c:v>
                </c:pt>
                <c:pt idx="48">
                  <c:v>44.64</c:v>
                </c:pt>
                <c:pt idx="49">
                  <c:v>45.57</c:v>
                </c:pt>
                <c:pt idx="50">
                  <c:v>46.5</c:v>
                </c:pt>
                <c:pt idx="51">
                  <c:v>47.43</c:v>
                </c:pt>
                <c:pt idx="52">
                  <c:v>48.36</c:v>
                </c:pt>
                <c:pt idx="53">
                  <c:v>49.29</c:v>
                </c:pt>
                <c:pt idx="54">
                  <c:v>50.22</c:v>
                </c:pt>
                <c:pt idx="55">
                  <c:v>51.15</c:v>
                </c:pt>
                <c:pt idx="56">
                  <c:v>52.080000000000005</c:v>
                </c:pt>
                <c:pt idx="57">
                  <c:v>53.009999999999991</c:v>
                </c:pt>
                <c:pt idx="58">
                  <c:v>53.94</c:v>
                </c:pt>
                <c:pt idx="59">
                  <c:v>54.86999999999999</c:v>
                </c:pt>
                <c:pt idx="60">
                  <c:v>55.800000000000004</c:v>
                </c:pt>
                <c:pt idx="61">
                  <c:v>56.730000000000004</c:v>
                </c:pt>
                <c:pt idx="62">
                  <c:v>57.66</c:v>
                </c:pt>
                <c:pt idx="63">
                  <c:v>58.59</c:v>
                </c:pt>
                <c:pt idx="64">
                  <c:v>59.519999999999996</c:v>
                </c:pt>
                <c:pt idx="65">
                  <c:v>60.45</c:v>
                </c:pt>
                <c:pt idx="66">
                  <c:v>61.38</c:v>
                </c:pt>
                <c:pt idx="67">
                  <c:v>62.31</c:v>
                </c:pt>
                <c:pt idx="68">
                  <c:v>63.24</c:v>
                </c:pt>
                <c:pt idx="69">
                  <c:v>64.169999999999987</c:v>
                </c:pt>
                <c:pt idx="70">
                  <c:v>65.099999999999994</c:v>
                </c:pt>
                <c:pt idx="71">
                  <c:v>66.029999999999987</c:v>
                </c:pt>
                <c:pt idx="72">
                  <c:v>66.959999999999994</c:v>
                </c:pt>
                <c:pt idx="73">
                  <c:v>67.889999999999986</c:v>
                </c:pt>
                <c:pt idx="74">
                  <c:v>68.819999999999993</c:v>
                </c:pt>
                <c:pt idx="75">
                  <c:v>69.75</c:v>
                </c:pt>
                <c:pt idx="76">
                  <c:v>70.680000000000007</c:v>
                </c:pt>
                <c:pt idx="77">
                  <c:v>71.610000000000014</c:v>
                </c:pt>
                <c:pt idx="78">
                  <c:v>72.540000000000006</c:v>
                </c:pt>
                <c:pt idx="79">
                  <c:v>73.470000000000013</c:v>
                </c:pt>
                <c:pt idx="80">
                  <c:v>74.400000000000006</c:v>
                </c:pt>
                <c:pt idx="81">
                  <c:v>75.330000000000013</c:v>
                </c:pt>
                <c:pt idx="82">
                  <c:v>76.259999999999991</c:v>
                </c:pt>
                <c:pt idx="83">
                  <c:v>77.190000000000012</c:v>
                </c:pt>
                <c:pt idx="84">
                  <c:v>78.11999999999999</c:v>
                </c:pt>
                <c:pt idx="85">
                  <c:v>79.050000000000011</c:v>
                </c:pt>
                <c:pt idx="86">
                  <c:v>79.97999999999999</c:v>
                </c:pt>
                <c:pt idx="87">
                  <c:v>80.91</c:v>
                </c:pt>
                <c:pt idx="88">
                  <c:v>81.839999999999989</c:v>
                </c:pt>
                <c:pt idx="89">
                  <c:v>82.77000000000001</c:v>
                </c:pt>
                <c:pt idx="90">
                  <c:v>83.700000000000017</c:v>
                </c:pt>
                <c:pt idx="91">
                  <c:v>84.63000000000001</c:v>
                </c:pt>
                <c:pt idx="92">
                  <c:v>85.56</c:v>
                </c:pt>
                <c:pt idx="93">
                  <c:v>86.490000000000009</c:v>
                </c:pt>
                <c:pt idx="94">
                  <c:v>87.42</c:v>
                </c:pt>
                <c:pt idx="95">
                  <c:v>88.34999999999998</c:v>
                </c:pt>
                <c:pt idx="96">
                  <c:v>89.28</c:v>
                </c:pt>
                <c:pt idx="97">
                  <c:v>90.21</c:v>
                </c:pt>
                <c:pt idx="98">
                  <c:v>91.14</c:v>
                </c:pt>
                <c:pt idx="99">
                  <c:v>92.07</c:v>
                </c:pt>
                <c:pt idx="100">
                  <c:v>93</c:v>
                </c:pt>
              </c:numCache>
            </c:numRef>
          </c:val>
          <c:smooth val="0"/>
        </c:ser>
        <c:ser>
          <c:idx val="3"/>
          <c:order val="2"/>
          <c:tx>
            <c:strRef>
              <c:f>'Calculations - Dual'!$BE$3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Dual'!$BK$5:$BK$105</c:f>
              <c:numCache>
                <c:formatCode>0.0</c:formatCode>
                <c:ptCount val="101"/>
                <c:pt idx="0">
                  <c:v>5.1621122676298157</c:v>
                </c:pt>
                <c:pt idx="1">
                  <c:v>5.7503949558041132</c:v>
                </c:pt>
                <c:pt idx="2">
                  <c:v>8.021026600505321</c:v>
                </c:pt>
                <c:pt idx="3">
                  <c:v>10.291894971117818</c:v>
                </c:pt>
                <c:pt idx="4">
                  <c:v>12.563000104663505</c:v>
                </c:pt>
                <c:pt idx="5">
                  <c:v>14.834342038172018</c:v>
                </c:pt>
                <c:pt idx="6">
                  <c:v>17.105920808680708</c:v>
                </c:pt>
                <c:pt idx="7">
                  <c:v>19.37773645323465</c:v>
                </c:pt>
                <c:pt idx="8">
                  <c:v>21.649789008886636</c:v>
                </c:pt>
                <c:pt idx="9">
                  <c:v>23.922078512697215</c:v>
                </c:pt>
                <c:pt idx="10">
                  <c:v>26.194605001734637</c:v>
                </c:pt>
                <c:pt idx="11">
                  <c:v>28.467368513074895</c:v>
                </c:pt>
                <c:pt idx="12">
                  <c:v>30.740369083801721</c:v>
                </c:pt>
                <c:pt idx="13">
                  <c:v>33.013606751006563</c:v>
                </c:pt>
                <c:pt idx="14">
                  <c:v>35.50041349895438</c:v>
                </c:pt>
                <c:pt idx="15">
                  <c:v>38.612779863006061</c:v>
                </c:pt>
                <c:pt idx="16">
                  <c:v>41.825356081651414</c:v>
                </c:pt>
                <c:pt idx="17">
                  <c:v>45.137995319580632</c:v>
                </c:pt>
                <c:pt idx="18">
                  <c:v>48.550680956165806</c:v>
                </c:pt>
                <c:pt idx="19">
                  <c:v>52.063508337831614</c:v>
                </c:pt>
                <c:pt idx="20">
                  <c:v>55.676670214871343</c:v>
                </c:pt>
                <c:pt idx="21">
                  <c:v>59.390444998478173</c:v>
                </c:pt>
                <c:pt idx="22">
                  <c:v>63.205187207790821</c:v>
                </c:pt>
                <c:pt idx="23">
                  <c:v>67.121319639731027</c:v>
                </c:pt>
                <c:pt idx="24">
                  <c:v>71.139326910061484</c:v>
                </c:pt>
                <c:pt idx="25">
                  <c:v>75.259750097558651</c:v>
                </c:pt>
                <c:pt idx="26">
                  <c:v>79.282206123564478</c:v>
                </c:pt>
                <c:pt idx="27">
                  <c:v>80.619339924254334</c:v>
                </c:pt>
                <c:pt idx="28">
                  <c:v>81.955126415475107</c:v>
                </c:pt>
                <c:pt idx="29">
                  <c:v>83.290082269361847</c:v>
                </c:pt>
                <c:pt idx="30">
                  <c:v>84.624674395264833</c:v>
                </c:pt>
                <c:pt idx="31">
                  <c:v>85.959326037856613</c:v>
                </c:pt>
                <c:pt idx="32">
                  <c:v>87.29442196975539</c:v>
                </c:pt>
                <c:pt idx="33">
                  <c:v>88.630312936124852</c:v>
                </c:pt>
                <c:pt idx="34">
                  <c:v>89.967319477507431</c:v>
                </c:pt>
                <c:pt idx="35">
                  <c:v>91.305735232846146</c:v>
                </c:pt>
                <c:pt idx="36">
                  <c:v>92.64582980557401</c:v>
                </c:pt>
                <c:pt idx="37">
                  <c:v>93.792120335649358</c:v>
                </c:pt>
                <c:pt idx="38">
                  <c:v>92.706731417466841</c:v>
                </c:pt>
                <c:pt idx="39">
                  <c:v>91.678440931192213</c:v>
                </c:pt>
                <c:pt idx="40">
                  <c:v>90.703136732700514</c:v>
                </c:pt>
                <c:pt idx="41">
                  <c:v>89.777094896743108</c:v>
                </c:pt>
                <c:pt idx="42">
                  <c:v>88.896934668779068</c:v>
                </c:pt>
                <c:pt idx="43">
                  <c:v>88.059579575560718</c:v>
                </c:pt>
                <c:pt idx="44">
                  <c:v>87.262223730897588</c:v>
                </c:pt>
                <c:pt idx="45">
                  <c:v>86.502302541950399</c:v>
                </c:pt>
                <c:pt idx="46">
                  <c:v>85.777467157673684</c:v>
                </c:pt>
                <c:pt idx="47">
                  <c:v>85.085562111511194</c:v>
                </c:pt>
                <c:pt idx="48">
                  <c:v>84.424605700464326</c:v>
                </c:pt>
                <c:pt idx="49">
                  <c:v>83.792772716339897</c:v>
                </c:pt>
                <c:pt idx="50">
                  <c:v>83.188379205566946</c:v>
                </c:pt>
                <c:pt idx="51">
                  <c:v>82.609868983995455</c:v>
                </c:pt>
                <c:pt idx="52">
                  <c:v>82.055801674565686</c:v>
                </c:pt>
                <c:pt idx="53">
                  <c:v>81.524842070253968</c:v>
                </c:pt>
                <c:pt idx="54">
                  <c:v>81.015750653542071</c:v>
                </c:pt>
                <c:pt idx="55">
                  <c:v>80.527375127834375</c:v>
                </c:pt>
                <c:pt idx="56">
                  <c:v>80.058642836591773</c:v>
                </c:pt>
                <c:pt idx="57">
                  <c:v>79.608553963124649</c:v>
                </c:pt>
                <c:pt idx="58">
                  <c:v>79.176175418527023</c:v>
                </c:pt>
                <c:pt idx="59">
                  <c:v>78.760635337590031</c:v>
                </c:pt>
                <c:pt idx="60">
                  <c:v>78.361118113054872</c:v>
                </c:pt>
                <c:pt idx="61">
                  <c:v>77.976859907559003</c:v>
                </c:pt>
                <c:pt idx="62">
                  <c:v>77.607144590332311</c:v>
                </c:pt>
                <c:pt idx="63">
                  <c:v>77.251300052318982</c:v>
                </c:pt>
                <c:pt idx="64">
                  <c:v>76.908694859100393</c:v>
                </c:pt>
                <c:pt idx="65">
                  <c:v>76.578735205915592</c:v>
                </c:pt>
                <c:pt idx="66">
                  <c:v>76.260862143335885</c:v>
                </c:pt>
                <c:pt idx="67">
                  <c:v>75.954549045843834</c:v>
                </c:pt>
                <c:pt idx="68">
                  <c:v>75.659299298781576</c:v>
                </c:pt>
                <c:pt idx="69">
                  <c:v>75.374644181930663</c:v>
                </c:pt>
                <c:pt idx="70">
                  <c:v>75.100140930431238</c:v>
                </c:pt>
                <c:pt idx="71">
                  <c:v>74.83537095588683</c:v>
                </c:pt>
                <c:pt idx="72">
                  <c:v>74.579938212376746</c:v>
                </c:pt>
                <c:pt idx="73">
                  <c:v>74.33346769374387</c:v>
                </c:pt>
                <c:pt idx="74">
                  <c:v>141.90882307241245</c:v>
                </c:pt>
                <c:pt idx="75">
                  <c:v>143.91147141997536</c:v>
                </c:pt>
                <c:pt idx="76">
                  <c:v>145.95139688510656</c:v>
                </c:pt>
                <c:pt idx="77">
                  <c:v>148.02854897351082</c:v>
                </c:pt>
                <c:pt idx="78">
                  <c:v>150.14288907155344</c:v>
                </c:pt>
                <c:pt idx="79">
                  <c:v>152.29438986240771</c:v>
                </c:pt>
                <c:pt idx="80">
                  <c:v>154.48303478808626</c:v>
                </c:pt>
                <c:pt idx="81">
                  <c:v>156.70881755343672</c:v>
                </c:pt>
                <c:pt idx="82">
                  <c:v>158.97174166856445</c:v>
                </c:pt>
                <c:pt idx="83">
                  <c:v>161.27182002648661</c:v>
                </c:pt>
                <c:pt idx="84">
                  <c:v>163.60907451312809</c:v>
                </c:pt>
                <c:pt idx="85">
                  <c:v>165.983535647042</c:v>
                </c:pt>
                <c:pt idx="86">
                  <c:v>168.39524224648119</c:v>
                </c:pt>
                <c:pt idx="87">
                  <c:v>170.84424112166775</c:v>
                </c:pt>
                <c:pt idx="88">
                  <c:v>173.33058679030327</c:v>
                </c:pt>
                <c:pt idx="89">
                  <c:v>175.85434121453946</c:v>
                </c:pt>
                <c:pt idx="90">
                  <c:v>178.41557355778795</c:v>
                </c:pt>
                <c:pt idx="91">
                  <c:v>181.01435995989175</c:v>
                </c:pt>
                <c:pt idx="92">
                  <c:v>183.65078332931139</c:v>
                </c:pt>
                <c:pt idx="93">
                  <c:v>186.32493315109238</c:v>
                </c:pt>
                <c:pt idx="94">
                  <c:v>189.03690530949018</c:v>
                </c:pt>
                <c:pt idx="95">
                  <c:v>191.78680192422294</c:v>
                </c:pt>
                <c:pt idx="96">
                  <c:v>194.5747311994088</c:v>
                </c:pt>
                <c:pt idx="97">
                  <c:v>197.40080728432292</c:v>
                </c:pt>
                <c:pt idx="98">
                  <c:v>200.26515014518498</c:v>
                </c:pt>
                <c:pt idx="99">
                  <c:v>203.1678854472452</c:v>
                </c:pt>
                <c:pt idx="100">
                  <c:v>206.1091444465049</c:v>
                </c:pt>
              </c:numCache>
            </c:numRef>
          </c:val>
          <c:smooth val="0"/>
        </c:ser>
        <c:ser>
          <c:idx val="1"/>
          <c:order val="3"/>
          <c:tx>
            <c:strRef>
              <c:f>'Calculations - Dual'!$BQ$3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Dual'!$BW$5:$BW$105</c:f>
              <c:numCache>
                <c:formatCode>0.0</c:formatCode>
                <c:ptCount val="101"/>
                <c:pt idx="0">
                  <c:v>14.755933367721374</c:v>
                </c:pt>
                <c:pt idx="1">
                  <c:v>14.774996085554209</c:v>
                </c:pt>
                <c:pt idx="2">
                  <c:v>14.85254746941577</c:v>
                </c:pt>
                <c:pt idx="3">
                  <c:v>14.938105016145959</c:v>
                </c:pt>
                <c:pt idx="4">
                  <c:v>15.033497035839309</c:v>
                </c:pt>
                <c:pt idx="5">
                  <c:v>15.140255935832162</c:v>
                </c:pt>
                <c:pt idx="6">
                  <c:v>15.259728739377692</c:v>
                </c:pt>
                <c:pt idx="7">
                  <c:v>15.393131847215411</c:v>
                </c:pt>
                <c:pt idx="8">
                  <c:v>15.541583088582417</c:v>
                </c:pt>
                <c:pt idx="9">
                  <c:v>15.70612243950862</c:v>
                </c:pt>
                <c:pt idx="10">
                  <c:v>15.887726345557425</c:v>
                </c:pt>
                <c:pt idx="11">
                  <c:v>16.087318118004656</c:v>
                </c:pt>
                <c:pt idx="12">
                  <c:v>16.305775765513996</c:v>
                </c:pt>
                <c:pt idx="13">
                  <c:v>16.543938069355743</c:v>
                </c:pt>
                <c:pt idx="14">
                  <c:v>17.125763708917862</c:v>
                </c:pt>
                <c:pt idx="15">
                  <c:v>18.59992458243681</c:v>
                </c:pt>
                <c:pt idx="16">
                  <c:v>20.132701701556986</c:v>
                </c:pt>
                <c:pt idx="17">
                  <c:v>21.730878634054264</c:v>
                </c:pt>
                <c:pt idx="18">
                  <c:v>23.401668311596861</c:v>
                </c:pt>
                <c:pt idx="19">
                  <c:v>25.152703500360744</c:v>
                </c:pt>
                <c:pt idx="20">
                  <c:v>26.992028132568461</c:v>
                </c:pt>
                <c:pt idx="21">
                  <c:v>28.928089360510437</c:v>
                </c:pt>
                <c:pt idx="22">
                  <c:v>30.969730222590385</c:v>
                </c:pt>
                <c:pt idx="23">
                  <c:v>33.126182832086876</c:v>
                </c:pt>
                <c:pt idx="24">
                  <c:v>35.407062015560761</c:v>
                </c:pt>
                <c:pt idx="25">
                  <c:v>37.822359340482599</c:v>
                </c:pt>
                <c:pt idx="26">
                  <c:v>40.303699460291362</c:v>
                </c:pt>
                <c:pt idx="27">
                  <c:v>41.782410630216575</c:v>
                </c:pt>
                <c:pt idx="28">
                  <c:v>43.256115041677702</c:v>
                </c:pt>
                <c:pt idx="29">
                  <c:v>44.724855157555936</c:v>
                </c:pt>
                <c:pt idx="30">
                  <c:v>46.188672325998276</c:v>
                </c:pt>
                <c:pt idx="31">
                  <c:v>47.647606808823589</c:v>
                </c:pt>
                <c:pt idx="32">
                  <c:v>49.101697812534624</c:v>
                </c:pt>
                <c:pt idx="33">
                  <c:v>50.550983520883776</c:v>
                </c:pt>
                <c:pt idx="34">
                  <c:v>51.995501128215288</c:v>
                </c:pt>
                <c:pt idx="35">
                  <c:v>53.435286873011677</c:v>
                </c:pt>
                <c:pt idx="36">
                  <c:v>54.870376071225905</c:v>
                </c:pt>
                <c:pt idx="37">
                  <c:v>56.207397748776465</c:v>
                </c:pt>
                <c:pt idx="38">
                  <c:v>56.482211591915593</c:v>
                </c:pt>
                <c:pt idx="39">
                  <c:v>56.793562038731388</c:v>
                </c:pt>
                <c:pt idx="40">
                  <c:v>57.138620817048356</c:v>
                </c:pt>
                <c:pt idx="41">
                  <c:v>57.51484756115191</c:v>
                </c:pt>
                <c:pt idx="42">
                  <c:v>57.91995419527381</c:v>
                </c:pt>
                <c:pt idx="43">
                  <c:v>58.351874456938042</c:v>
                </c:pt>
                <c:pt idx="44">
                  <c:v>58.80873771795239</c:v>
                </c:pt>
                <c:pt idx="45">
                  <c:v>59.288846414520705</c:v>
                </c:pt>
                <c:pt idx="46">
                  <c:v>59.790656520862207</c:v>
                </c:pt>
                <c:pt idx="47">
                  <c:v>60.312760599542493</c:v>
                </c:pt>
                <c:pt idx="48">
                  <c:v>60.853873041576428</c:v>
                </c:pt>
                <c:pt idx="49">
                  <c:v>61.412817174201557</c:v>
                </c:pt>
                <c:pt idx="50">
                  <c:v>61.988513967115281</c:v>
                </c:pt>
                <c:pt idx="51">
                  <c:v>62.579972111309083</c:v>
                </c:pt>
                <c:pt idx="52">
                  <c:v>63.186279280293661</c:v>
                </c:pt>
                <c:pt idx="53">
                  <c:v>63.806594412972579</c:v>
                </c:pt>
                <c:pt idx="54">
                  <c:v>64.440140881859591</c:v>
                </c:pt>
                <c:pt idx="55">
                  <c:v>65.086200430677806</c:v>
                </c:pt>
                <c:pt idx="56">
                  <c:v>65.744107782377938</c:v>
                </c:pt>
                <c:pt idx="57">
                  <c:v>66.413245832863353</c:v>
                </c:pt>
                <c:pt idx="58">
                  <c:v>67.09304135769716</c:v>
                </c:pt>
                <c:pt idx="59">
                  <c:v>67.782961169183366</c:v>
                </c:pt>
                <c:pt idx="60">
                  <c:v>68.482508669777005</c:v>
                </c:pt>
                <c:pt idx="61">
                  <c:v>69.191220755049841</c:v>
                </c:pt>
                <c:pt idx="62">
                  <c:v>69.908665025626235</c:v>
                </c:pt>
                <c:pt idx="63">
                  <c:v>70.634437272792866</c:v>
                </c:pt>
                <c:pt idx="64">
                  <c:v>71.368159207007352</c:v>
                </c:pt>
                <c:pt idx="65">
                  <c:v>72.10947640241757</c:v>
                </c:pt>
                <c:pt idx="66">
                  <c:v>72.858056433843871</c:v>
                </c:pt>
                <c:pt idx="67">
                  <c:v>73.613587185560277</c:v>
                </c:pt>
                <c:pt idx="68">
                  <c:v>74.375775313702121</c:v>
                </c:pt>
                <c:pt idx="69">
                  <c:v>75.144344846288291</c:v>
                </c:pt>
                <c:pt idx="70">
                  <c:v>75.919035906721916</c:v>
                </c:pt>
                <c:pt idx="71">
                  <c:v>76.699603548265429</c:v>
                </c:pt>
                <c:pt idx="72">
                  <c:v>77.485816688410438</c:v>
                </c:pt>
                <c:pt idx="73">
                  <c:v>78.277457133306612</c:v>
                </c:pt>
                <c:pt idx="74">
                  <c:v>148.86096170107189</c:v>
                </c:pt>
                <c:pt idx="75">
                  <c:v>151.99126832804214</c:v>
                </c:pt>
                <c:pt idx="76">
                  <c:v>155.15917667938311</c:v>
                </c:pt>
                <c:pt idx="77">
                  <c:v>158.36473516235611</c:v>
                </c:pt>
                <c:pt idx="78">
                  <c:v>161.60799287902759</c:v>
                </c:pt>
                <c:pt idx="79">
                  <c:v>164.88899962845537</c:v>
                </c:pt>
                <c:pt idx="80">
                  <c:v>168.20780590890701</c:v>
                </c:pt>
                <c:pt idx="81">
                  <c:v>171.5644629201125</c:v>
                </c:pt>
                <c:pt idx="82">
                  <c:v>174.95902256554959</c:v>
                </c:pt>
                <c:pt idx="83">
                  <c:v>178.39153745476352</c:v>
                </c:pt>
                <c:pt idx="84">
                  <c:v>181.86206090572011</c:v>
                </c:pt>
                <c:pt idx="85">
                  <c:v>185.37064694719308</c:v>
                </c:pt>
                <c:pt idx="86">
                  <c:v>188.91735032118584</c:v>
                </c:pt>
                <c:pt idx="87">
                  <c:v>192.5022264853875</c:v>
                </c:pt>
                <c:pt idx="88">
                  <c:v>196.12533161566427</c:v>
                </c:pt>
                <c:pt idx="89">
                  <c:v>199.78672260858409</c:v>
                </c:pt>
                <c:pt idx="90">
                  <c:v>203.48645708397871</c:v>
                </c:pt>
                <c:pt idx="91">
                  <c:v>207.22459338753902</c:v>
                </c:pt>
                <c:pt idx="92">
                  <c:v>211.00119059344746</c:v>
                </c:pt>
                <c:pt idx="93">
                  <c:v>214.81630850704528</c:v>
                </c:pt>
                <c:pt idx="94">
                  <c:v>218.67000766753614</c:v>
                </c:pt>
                <c:pt idx="95">
                  <c:v>222.56234935072609</c:v>
                </c:pt>
                <c:pt idx="96">
                  <c:v>226.49339557180005</c:v>
                </c:pt>
                <c:pt idx="97">
                  <c:v>230.46320908813425</c:v>
                </c:pt>
                <c:pt idx="98">
                  <c:v>234.47185340214716</c:v>
                </c:pt>
                <c:pt idx="99">
                  <c:v>238.51939276418594</c:v>
                </c:pt>
                <c:pt idx="100">
                  <c:v>242.60589217545146</c:v>
                </c:pt>
              </c:numCache>
            </c:numRef>
          </c:val>
          <c:smooth val="0"/>
        </c:ser>
        <c:dLbls>
          <c:showLegendKey val="0"/>
          <c:showVal val="0"/>
          <c:showCatName val="0"/>
          <c:showSerName val="0"/>
          <c:showPercent val="0"/>
          <c:showBubbleSize val="0"/>
        </c:dLbls>
        <c:marker val="1"/>
        <c:smooth val="0"/>
        <c:axId val="211910016"/>
        <c:axId val="211908096"/>
      </c:lineChart>
      <c:catAx>
        <c:axId val="211899904"/>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37236214410842988"/>
              <c:y val="0.9410299506954154"/>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en-US"/>
          </a:p>
        </c:txPr>
        <c:crossAx val="211901824"/>
        <c:crosses val="autoZero"/>
        <c:auto val="1"/>
        <c:lblAlgn val="ctr"/>
        <c:lblOffset val="100"/>
        <c:tickLblSkip val="20"/>
        <c:tickMarkSkip val="20"/>
        <c:noMultiLvlLbl val="0"/>
      </c:catAx>
      <c:valAx>
        <c:axId val="211901824"/>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211899904"/>
        <c:crossesAt val="0"/>
        <c:crossBetween val="between"/>
        <c:majorUnit val="5"/>
        <c:minorUnit val="2.5"/>
      </c:valAx>
      <c:valAx>
        <c:axId val="211908096"/>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en-US"/>
          </a:p>
        </c:txPr>
        <c:crossAx val="211910016"/>
        <c:crosses val="max"/>
        <c:crossBetween val="between"/>
      </c:valAx>
      <c:catAx>
        <c:axId val="211910016"/>
        <c:scaling>
          <c:orientation val="minMax"/>
        </c:scaling>
        <c:delete val="1"/>
        <c:axPos val="b"/>
        <c:numFmt formatCode="General" sourceLinked="1"/>
        <c:majorTickMark val="out"/>
        <c:minorTickMark val="none"/>
        <c:tickLblPos val="nextTo"/>
        <c:crossAx val="211908096"/>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Single'!$AJ$110:$AJ$210</c:f>
              <c:numCache>
                <c:formatCode>0.000</c:formatCode>
                <c:ptCount val="101"/>
                <c:pt idx="0">
                  <c:v>0.28999999999999998</c:v>
                </c:pt>
                <c:pt idx="1">
                  <c:v>0.28999999999999998</c:v>
                </c:pt>
                <c:pt idx="2">
                  <c:v>0.28999999999999998</c:v>
                </c:pt>
                <c:pt idx="3">
                  <c:v>0.28999999999999998</c:v>
                </c:pt>
                <c:pt idx="4">
                  <c:v>0.28999999999999998</c:v>
                </c:pt>
                <c:pt idx="5">
                  <c:v>0.28999999999999998</c:v>
                </c:pt>
                <c:pt idx="6">
                  <c:v>0.28999999999999998</c:v>
                </c:pt>
                <c:pt idx="7">
                  <c:v>0.28999999999999998</c:v>
                </c:pt>
                <c:pt idx="8">
                  <c:v>0.28999999999999998</c:v>
                </c:pt>
                <c:pt idx="9">
                  <c:v>0.28999999999999998</c:v>
                </c:pt>
                <c:pt idx="10">
                  <c:v>0.28999999999999998</c:v>
                </c:pt>
                <c:pt idx="11">
                  <c:v>0.28999999999999998</c:v>
                </c:pt>
                <c:pt idx="12">
                  <c:v>0.28999999999999998</c:v>
                </c:pt>
                <c:pt idx="13">
                  <c:v>0.28999999999999998</c:v>
                </c:pt>
                <c:pt idx="14">
                  <c:v>0.28999999999999998</c:v>
                </c:pt>
                <c:pt idx="15">
                  <c:v>0.28999999999999998</c:v>
                </c:pt>
                <c:pt idx="16">
                  <c:v>0.28999999999999998</c:v>
                </c:pt>
                <c:pt idx="17">
                  <c:v>0.28999999999999998</c:v>
                </c:pt>
                <c:pt idx="18">
                  <c:v>0.28999999999999998</c:v>
                </c:pt>
                <c:pt idx="19">
                  <c:v>0.28999999999999998</c:v>
                </c:pt>
                <c:pt idx="20">
                  <c:v>0.28999999999999998</c:v>
                </c:pt>
                <c:pt idx="21">
                  <c:v>0.28999999999999998</c:v>
                </c:pt>
                <c:pt idx="22">
                  <c:v>0.28999999999999998</c:v>
                </c:pt>
                <c:pt idx="23">
                  <c:v>0.28999999999999998</c:v>
                </c:pt>
                <c:pt idx="24">
                  <c:v>0.28999999999999998</c:v>
                </c:pt>
                <c:pt idx="25">
                  <c:v>0.28999999999999998</c:v>
                </c:pt>
                <c:pt idx="26">
                  <c:v>0.29038283084550304</c:v>
                </c:pt>
                <c:pt idx="27">
                  <c:v>0.29591442942863222</c:v>
                </c:pt>
                <c:pt idx="28">
                  <c:v>0.3013445049080834</c:v>
                </c:pt>
                <c:pt idx="29">
                  <c:v>0.30667845006215028</c:v>
                </c:pt>
                <c:pt idx="30">
                  <c:v>0.31192119650121203</c:v>
                </c:pt>
                <c:pt idx="31">
                  <c:v>0.31707726806091391</c:v>
                </c:pt>
                <c:pt idx="32">
                  <c:v>0.32215082650087612</c:v>
                </c:pt>
                <c:pt idx="33">
                  <c:v>0.32714571082229171</c:v>
                </c:pt>
                <c:pt idx="34">
                  <c:v>0.33206547126078528</c:v>
                </c:pt>
                <c:pt idx="35">
                  <c:v>0.33691339881024673</c:v>
                </c:pt>
                <c:pt idx="36">
                  <c:v>0.34169255097543061</c:v>
                </c:pt>
                <c:pt idx="37">
                  <c:v>0.34640577432589398</c:v>
                </c:pt>
                <c:pt idx="38">
                  <c:v>0.35105572432385596</c:v>
                </c:pt>
                <c:pt idx="39">
                  <c:v>0.35564488281820117</c:v>
                </c:pt>
                <c:pt idx="40">
                  <c:v>0.36017557353184987</c:v>
                </c:pt>
                <c:pt idx="41">
                  <c:v>0.36464997581683983</c:v>
                </c:pt>
                <c:pt idx="42">
                  <c:v>0.36907013690821266</c:v>
                </c:pt>
                <c:pt idx="43">
                  <c:v>0.37343798287221902</c:v>
                </c:pt>
                <c:pt idx="44">
                  <c:v>0.37775532841496312</c:v>
                </c:pt>
                <c:pt idx="45">
                  <c:v>0.38202388569318751</c:v>
                </c:pt>
                <c:pt idx="46">
                  <c:v>0.38624527224853705</c:v>
                </c:pt>
                <c:pt idx="47">
                  <c:v>0.39042101816957991</c:v>
                </c:pt>
                <c:pt idx="48">
                  <c:v>0.39455257257150961</c:v>
                </c:pt>
                <c:pt idx="49">
                  <c:v>0.39864130947133575</c:v>
                </c:pt>
                <c:pt idx="50">
                  <c:v>0.40268853312609515</c:v>
                </c:pt>
                <c:pt idx="51">
                  <c:v>0.40669548289287794</c:v>
                </c:pt>
                <c:pt idx="52">
                  <c:v>0.41066333766200275</c:v>
                </c:pt>
                <c:pt idx="53">
                  <c:v>0.41459321990828674</c:v>
                </c:pt>
                <c:pt idx="54">
                  <c:v>0.41848619939986781</c:v>
                </c:pt>
                <c:pt idx="55">
                  <c:v>0.4223432965993078</c:v>
                </c:pt>
                <c:pt idx="56">
                  <c:v>0.42616548578761726</c:v>
                </c:pt>
                <c:pt idx="57">
                  <c:v>0.42995369793830202</c:v>
                </c:pt>
                <c:pt idx="58">
                  <c:v>0.45528898534997281</c:v>
                </c:pt>
                <c:pt idx="59">
                  <c:v>0.4631387954422137</c:v>
                </c:pt>
                <c:pt idx="60">
                  <c:v>0.47098860553445471</c:v>
                </c:pt>
                <c:pt idx="61">
                  <c:v>0.47883841562669555</c:v>
                </c:pt>
                <c:pt idx="62">
                  <c:v>0.4866882257189365</c:v>
                </c:pt>
                <c:pt idx="63">
                  <c:v>0.49453803581117739</c:v>
                </c:pt>
                <c:pt idx="64">
                  <c:v>0.50238784590341834</c:v>
                </c:pt>
                <c:pt idx="65">
                  <c:v>0.51023765599565929</c:v>
                </c:pt>
                <c:pt idx="66">
                  <c:v>0.51808746608790013</c:v>
                </c:pt>
                <c:pt idx="67">
                  <c:v>0.52593727618014108</c:v>
                </c:pt>
                <c:pt idx="68">
                  <c:v>0.53378708627238203</c:v>
                </c:pt>
                <c:pt idx="69">
                  <c:v>0.54163689636462287</c:v>
                </c:pt>
                <c:pt idx="70">
                  <c:v>0.5494867064568637</c:v>
                </c:pt>
                <c:pt idx="71">
                  <c:v>0.55733651654910477</c:v>
                </c:pt>
                <c:pt idx="72">
                  <c:v>0.5651863266413456</c:v>
                </c:pt>
                <c:pt idx="73">
                  <c:v>0.57303613673358655</c:v>
                </c:pt>
                <c:pt idx="74">
                  <c:v>0.58088594682582739</c:v>
                </c:pt>
                <c:pt idx="75">
                  <c:v>0.58873575691806834</c:v>
                </c:pt>
                <c:pt idx="76">
                  <c:v>0.59658556701030929</c:v>
                </c:pt>
                <c:pt idx="77">
                  <c:v>0.60443537710255013</c:v>
                </c:pt>
                <c:pt idx="78">
                  <c:v>0.61228518719479108</c:v>
                </c:pt>
                <c:pt idx="79">
                  <c:v>0.62013499728703214</c:v>
                </c:pt>
                <c:pt idx="80">
                  <c:v>0.62798480737927298</c:v>
                </c:pt>
                <c:pt idx="81">
                  <c:v>0.63583461747151393</c:v>
                </c:pt>
                <c:pt idx="82">
                  <c:v>0.64368442756375466</c:v>
                </c:pt>
                <c:pt idx="83">
                  <c:v>0.65153423765599561</c:v>
                </c:pt>
                <c:pt idx="84">
                  <c:v>0.65938404774823656</c:v>
                </c:pt>
                <c:pt idx="85">
                  <c:v>0.6672338578404774</c:v>
                </c:pt>
                <c:pt idx="86">
                  <c:v>0.67508366793271835</c:v>
                </c:pt>
                <c:pt idx="87">
                  <c:v>0.68293347802495918</c:v>
                </c:pt>
                <c:pt idx="88">
                  <c:v>0.69078328811720013</c:v>
                </c:pt>
                <c:pt idx="89">
                  <c:v>0.69863309820944119</c:v>
                </c:pt>
                <c:pt idx="90">
                  <c:v>0.70648290830168214</c:v>
                </c:pt>
                <c:pt idx="91">
                  <c:v>0.71433271839392298</c:v>
                </c:pt>
                <c:pt idx="92">
                  <c:v>0.72218252848616382</c:v>
                </c:pt>
                <c:pt idx="93">
                  <c:v>0.73003233857840477</c:v>
                </c:pt>
                <c:pt idx="94">
                  <c:v>0.73788214867064561</c:v>
                </c:pt>
                <c:pt idx="95">
                  <c:v>0.74573195876288656</c:v>
                </c:pt>
                <c:pt idx="96">
                  <c:v>0.7535817688551274</c:v>
                </c:pt>
                <c:pt idx="97">
                  <c:v>0.76143157894736835</c:v>
                </c:pt>
                <c:pt idx="98">
                  <c:v>0.76928138903960919</c:v>
                </c:pt>
                <c:pt idx="99">
                  <c:v>0.77713119913185014</c:v>
                </c:pt>
                <c:pt idx="100">
                  <c:v>0.7849810092240912</c:v>
                </c:pt>
              </c:numCache>
            </c:numRef>
          </c:val>
          <c:smooth val="0"/>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1.1000000000000001</c:v>
                </c:pt>
                <c:pt idx="2">
                  <c:v>2.2000000000000002</c:v>
                </c:pt>
                <c:pt idx="3">
                  <c:v>3.3</c:v>
                </c:pt>
                <c:pt idx="4">
                  <c:v>4.4000000000000004</c:v>
                </c:pt>
                <c:pt idx="5">
                  <c:v>5.5000000000000009</c:v>
                </c:pt>
                <c:pt idx="6">
                  <c:v>6.6</c:v>
                </c:pt>
                <c:pt idx="7">
                  <c:v>7.7000000000000011</c:v>
                </c:pt>
                <c:pt idx="8">
                  <c:v>8.8000000000000007</c:v>
                </c:pt>
                <c:pt idx="9">
                  <c:v>9.8999999999999986</c:v>
                </c:pt>
                <c:pt idx="10">
                  <c:v>11.000000000000002</c:v>
                </c:pt>
                <c:pt idx="11">
                  <c:v>12.1</c:v>
                </c:pt>
                <c:pt idx="12">
                  <c:v>13.2</c:v>
                </c:pt>
                <c:pt idx="13">
                  <c:v>14.3</c:v>
                </c:pt>
                <c:pt idx="14">
                  <c:v>15.400000000000002</c:v>
                </c:pt>
                <c:pt idx="15">
                  <c:v>16.5</c:v>
                </c:pt>
                <c:pt idx="16">
                  <c:v>17.600000000000001</c:v>
                </c:pt>
                <c:pt idx="17">
                  <c:v>18.700000000000003</c:v>
                </c:pt>
                <c:pt idx="18">
                  <c:v>19.799999999999997</c:v>
                </c:pt>
                <c:pt idx="19">
                  <c:v>20.900000000000002</c:v>
                </c:pt>
                <c:pt idx="20">
                  <c:v>22.000000000000004</c:v>
                </c:pt>
                <c:pt idx="21">
                  <c:v>23.099999999999998</c:v>
                </c:pt>
                <c:pt idx="22">
                  <c:v>24.2</c:v>
                </c:pt>
                <c:pt idx="23">
                  <c:v>25.3</c:v>
                </c:pt>
                <c:pt idx="24">
                  <c:v>26.4</c:v>
                </c:pt>
                <c:pt idx="25">
                  <c:v>27.5</c:v>
                </c:pt>
                <c:pt idx="26">
                  <c:v>28.6</c:v>
                </c:pt>
                <c:pt idx="27">
                  <c:v>29.7</c:v>
                </c:pt>
                <c:pt idx="28">
                  <c:v>30.800000000000004</c:v>
                </c:pt>
                <c:pt idx="29">
                  <c:v>31.9</c:v>
                </c:pt>
                <c:pt idx="30">
                  <c:v>33</c:v>
                </c:pt>
                <c:pt idx="31">
                  <c:v>34.1</c:v>
                </c:pt>
                <c:pt idx="32">
                  <c:v>35.200000000000003</c:v>
                </c:pt>
                <c:pt idx="33">
                  <c:v>36.299999999999997</c:v>
                </c:pt>
                <c:pt idx="34">
                  <c:v>37.400000000000006</c:v>
                </c:pt>
                <c:pt idx="35">
                  <c:v>38.5</c:v>
                </c:pt>
                <c:pt idx="36">
                  <c:v>39.599999999999994</c:v>
                </c:pt>
                <c:pt idx="37">
                  <c:v>40.700000000000003</c:v>
                </c:pt>
                <c:pt idx="38">
                  <c:v>41.800000000000004</c:v>
                </c:pt>
                <c:pt idx="39">
                  <c:v>42.9</c:v>
                </c:pt>
                <c:pt idx="40">
                  <c:v>44.000000000000007</c:v>
                </c:pt>
                <c:pt idx="41">
                  <c:v>45.099999999999994</c:v>
                </c:pt>
                <c:pt idx="42">
                  <c:v>46.199999999999996</c:v>
                </c:pt>
                <c:pt idx="43">
                  <c:v>47.300000000000004</c:v>
                </c:pt>
                <c:pt idx="44">
                  <c:v>48.4</c:v>
                </c:pt>
                <c:pt idx="45">
                  <c:v>49.5</c:v>
                </c:pt>
                <c:pt idx="46">
                  <c:v>50.6</c:v>
                </c:pt>
                <c:pt idx="47">
                  <c:v>51.699999999999996</c:v>
                </c:pt>
                <c:pt idx="48">
                  <c:v>52.8</c:v>
                </c:pt>
                <c:pt idx="49">
                  <c:v>53.9</c:v>
                </c:pt>
                <c:pt idx="50">
                  <c:v>55</c:v>
                </c:pt>
                <c:pt idx="51">
                  <c:v>56.1</c:v>
                </c:pt>
                <c:pt idx="52">
                  <c:v>57.2</c:v>
                </c:pt>
                <c:pt idx="53">
                  <c:v>58.300000000000004</c:v>
                </c:pt>
                <c:pt idx="54">
                  <c:v>59.4</c:v>
                </c:pt>
                <c:pt idx="55">
                  <c:v>60.500000000000007</c:v>
                </c:pt>
                <c:pt idx="56">
                  <c:v>61.600000000000009</c:v>
                </c:pt>
                <c:pt idx="57">
                  <c:v>62.699999999999989</c:v>
                </c:pt>
                <c:pt idx="58">
                  <c:v>63.8</c:v>
                </c:pt>
                <c:pt idx="59">
                  <c:v>64.900000000000006</c:v>
                </c:pt>
                <c:pt idx="60">
                  <c:v>66</c:v>
                </c:pt>
                <c:pt idx="61">
                  <c:v>67.099999999999994</c:v>
                </c:pt>
                <c:pt idx="62">
                  <c:v>68.2</c:v>
                </c:pt>
                <c:pt idx="63">
                  <c:v>69.3</c:v>
                </c:pt>
                <c:pt idx="64">
                  <c:v>70.400000000000006</c:v>
                </c:pt>
                <c:pt idx="65">
                  <c:v>71.500000000000014</c:v>
                </c:pt>
                <c:pt idx="66">
                  <c:v>72.599999999999994</c:v>
                </c:pt>
                <c:pt idx="67">
                  <c:v>73.7</c:v>
                </c:pt>
                <c:pt idx="68">
                  <c:v>74.800000000000011</c:v>
                </c:pt>
                <c:pt idx="69">
                  <c:v>75.899999999999991</c:v>
                </c:pt>
                <c:pt idx="70">
                  <c:v>77</c:v>
                </c:pt>
                <c:pt idx="71">
                  <c:v>78.100000000000009</c:v>
                </c:pt>
                <c:pt idx="72">
                  <c:v>79.199999999999989</c:v>
                </c:pt>
                <c:pt idx="73">
                  <c:v>80.3</c:v>
                </c:pt>
                <c:pt idx="74">
                  <c:v>81.400000000000006</c:v>
                </c:pt>
                <c:pt idx="75">
                  <c:v>82.5</c:v>
                </c:pt>
                <c:pt idx="76">
                  <c:v>83.600000000000009</c:v>
                </c:pt>
                <c:pt idx="77">
                  <c:v>84.7</c:v>
                </c:pt>
                <c:pt idx="78">
                  <c:v>85.8</c:v>
                </c:pt>
                <c:pt idx="79">
                  <c:v>86.9</c:v>
                </c:pt>
                <c:pt idx="80">
                  <c:v>88.000000000000014</c:v>
                </c:pt>
                <c:pt idx="81">
                  <c:v>89.100000000000009</c:v>
                </c:pt>
                <c:pt idx="82">
                  <c:v>90.199999999999989</c:v>
                </c:pt>
                <c:pt idx="83">
                  <c:v>91.3</c:v>
                </c:pt>
                <c:pt idx="84">
                  <c:v>92.399999999999991</c:v>
                </c:pt>
                <c:pt idx="85">
                  <c:v>93.5</c:v>
                </c:pt>
                <c:pt idx="86">
                  <c:v>94.600000000000009</c:v>
                </c:pt>
                <c:pt idx="87">
                  <c:v>95.699999999999989</c:v>
                </c:pt>
                <c:pt idx="88">
                  <c:v>96.8</c:v>
                </c:pt>
                <c:pt idx="89">
                  <c:v>97.9</c:v>
                </c:pt>
                <c:pt idx="90">
                  <c:v>99</c:v>
                </c:pt>
                <c:pt idx="91">
                  <c:v>100.10000000000001</c:v>
                </c:pt>
                <c:pt idx="92">
                  <c:v>101.2</c:v>
                </c:pt>
                <c:pt idx="93">
                  <c:v>102.3</c:v>
                </c:pt>
                <c:pt idx="94">
                  <c:v>103.39999999999999</c:v>
                </c:pt>
                <c:pt idx="95">
                  <c:v>104.5</c:v>
                </c:pt>
                <c:pt idx="96">
                  <c:v>105.6</c:v>
                </c:pt>
                <c:pt idx="97">
                  <c:v>106.7</c:v>
                </c:pt>
                <c:pt idx="98">
                  <c:v>107.8</c:v>
                </c:pt>
                <c:pt idx="99">
                  <c:v>108.89999999999999</c:v>
                </c:pt>
                <c:pt idx="100">
                  <c:v>110</c:v>
                </c:pt>
              </c:numCache>
            </c:numRef>
          </c:cat>
          <c:val>
            <c:numRef>
              <c:f>'Calculations - Single'!$AJ$5:$AJ$105</c:f>
              <c:numCache>
                <c:formatCode>0.000</c:formatCode>
                <c:ptCount val="101"/>
                <c:pt idx="0">
                  <c:v>0.28999999999999998</c:v>
                </c:pt>
                <c:pt idx="1">
                  <c:v>0.28999999999999998</c:v>
                </c:pt>
                <c:pt idx="2">
                  <c:v>0.28999999999999998</c:v>
                </c:pt>
                <c:pt idx="3">
                  <c:v>0.28999999999999998</c:v>
                </c:pt>
                <c:pt idx="4">
                  <c:v>0.28999999999999998</c:v>
                </c:pt>
                <c:pt idx="5">
                  <c:v>0.28999999999999998</c:v>
                </c:pt>
                <c:pt idx="6">
                  <c:v>0.28999999999999998</c:v>
                </c:pt>
                <c:pt idx="7">
                  <c:v>0.28999999999999998</c:v>
                </c:pt>
                <c:pt idx="8">
                  <c:v>0.28999999999999998</c:v>
                </c:pt>
                <c:pt idx="9">
                  <c:v>0.28999999999999998</c:v>
                </c:pt>
                <c:pt idx="10">
                  <c:v>0.28999999999999998</c:v>
                </c:pt>
                <c:pt idx="11">
                  <c:v>0.28999999999999998</c:v>
                </c:pt>
                <c:pt idx="12">
                  <c:v>0.28999999999999998</c:v>
                </c:pt>
                <c:pt idx="13">
                  <c:v>0.28999999999999998</c:v>
                </c:pt>
                <c:pt idx="14">
                  <c:v>0.28999999999999998</c:v>
                </c:pt>
                <c:pt idx="15">
                  <c:v>0.28999999999999998</c:v>
                </c:pt>
                <c:pt idx="16">
                  <c:v>0.28999999999999998</c:v>
                </c:pt>
                <c:pt idx="17">
                  <c:v>0.28999999999999998</c:v>
                </c:pt>
                <c:pt idx="18">
                  <c:v>0.28999999999999998</c:v>
                </c:pt>
                <c:pt idx="19">
                  <c:v>0.28999999999999998</c:v>
                </c:pt>
                <c:pt idx="20">
                  <c:v>0.28999999999999998</c:v>
                </c:pt>
                <c:pt idx="21">
                  <c:v>0.28999999999999998</c:v>
                </c:pt>
                <c:pt idx="22">
                  <c:v>0.28999999999999998</c:v>
                </c:pt>
                <c:pt idx="23">
                  <c:v>0.28999999999999998</c:v>
                </c:pt>
                <c:pt idx="24">
                  <c:v>0.28999999999999998</c:v>
                </c:pt>
                <c:pt idx="25">
                  <c:v>0.29214096697462072</c:v>
                </c:pt>
                <c:pt idx="26">
                  <c:v>0.29792649826469131</c:v>
                </c:pt>
                <c:pt idx="27">
                  <c:v>0.30360179866340675</c:v>
                </c:pt>
                <c:pt idx="28">
                  <c:v>0.30917293855551203</c:v>
                </c:pt>
                <c:pt idx="29">
                  <c:v>0.31464545081479417</c:v>
                </c:pt>
                <c:pt idx="30">
                  <c:v>0.32002439516674308</c:v>
                </c:pt>
                <c:pt idx="31">
                  <c:v>0.32531441296879909</c:v>
                </c:pt>
                <c:pt idx="32">
                  <c:v>0.33051977409623928</c:v>
                </c:pt>
                <c:pt idx="33">
                  <c:v>0.33564441728118122</c:v>
                </c:pt>
                <c:pt idx="34">
                  <c:v>0.3406919849885206</c:v>
                </c:pt>
                <c:pt idx="35">
                  <c:v>0.34566585370674524</c:v>
                </c:pt>
                <c:pt idx="36">
                  <c:v>0.35056916036954489</c:v>
                </c:pt>
                <c:pt idx="37">
                  <c:v>0.35540482549566249</c:v>
                </c:pt>
                <c:pt idx="38">
                  <c:v>0.36017557353184987</c:v>
                </c:pt>
                <c:pt idx="39">
                  <c:v>0.36488395080133579</c:v>
                </c:pt>
                <c:pt idx="40">
                  <c:v>0.36953234139353258</c:v>
                </c:pt>
                <c:pt idx="41">
                  <c:v>0.37412298127645266</c:v>
                </c:pt>
                <c:pt idx="42">
                  <c:v>0.37865797086893022</c:v>
                </c:pt>
                <c:pt idx="43">
                  <c:v>0.38313928627324328</c:v>
                </c:pt>
                <c:pt idx="44">
                  <c:v>0.38756878933857009</c:v>
                </c:pt>
                <c:pt idx="45">
                  <c:v>0.39194823670066381</c:v>
                </c:pt>
                <c:pt idx="46">
                  <c:v>0.39627928792223577</c:v>
                </c:pt>
                <c:pt idx="47">
                  <c:v>0.40056351284103359</c:v>
                </c:pt>
                <c:pt idx="48">
                  <c:v>0.40480239821787561</c:v>
                </c:pt>
                <c:pt idx="49">
                  <c:v>0.408997353764469</c:v>
                </c:pt>
                <c:pt idx="50">
                  <c:v>0.41314971762029906</c:v>
                </c:pt>
                <c:pt idx="51">
                  <c:v>0.41726076133891088</c:v>
                </c:pt>
                <c:pt idx="52">
                  <c:v>0.42133169443625079</c:v>
                </c:pt>
                <c:pt idx="53">
                  <c:v>0.42536366854718194</c:v>
                </c:pt>
                <c:pt idx="54">
                  <c:v>0.4293577812306556</c:v>
                </c:pt>
                <c:pt idx="55">
                  <c:v>0.43331507945916925</c:v>
                </c:pt>
                <c:pt idx="56">
                  <c:v>0.43723656282394874</c:v>
                </c:pt>
                <c:pt idx="57">
                  <c:v>0.44112318648365723</c:v>
                </c:pt>
                <c:pt idx="58">
                  <c:v>0.44497586388127852</c:v>
                </c:pt>
                <c:pt idx="59">
                  <c:v>0.44879546925106628</c:v>
                </c:pt>
                <c:pt idx="60">
                  <c:v>0.45258283993505483</c:v>
                </c:pt>
                <c:pt idx="61">
                  <c:v>0.45633877852651761</c:v>
                </c:pt>
                <c:pt idx="62">
                  <c:v>0.46006405485591761</c:v>
                </c:pt>
                <c:pt idx="63">
                  <c:v>0.46375940783326802</c:v>
                </c:pt>
                <c:pt idx="64">
                  <c:v>0.46742554715939316</c:v>
                </c:pt>
                <c:pt idx="65">
                  <c:v>0.47106315491731332</c:v>
                </c:pt>
                <c:pt idx="66">
                  <c:v>0.4746728870538609</c:v>
                </c:pt>
                <c:pt idx="67">
                  <c:v>0.47825537476064195</c:v>
                </c:pt>
                <c:pt idx="68">
                  <c:v>0.48181122576257673</c:v>
                </c:pt>
                <c:pt idx="69">
                  <c:v>0.48534102552146918</c:v>
                </c:pt>
                <c:pt idx="70">
                  <c:v>0.48884533836135335</c:v>
                </c:pt>
                <c:pt idx="71">
                  <c:v>0.49232470852174454</c:v>
                </c:pt>
                <c:pt idx="72">
                  <c:v>0.4957796611443589</c:v>
                </c:pt>
                <c:pt idx="73">
                  <c:v>0.49921070319836891</c:v>
                </c:pt>
                <c:pt idx="74">
                  <c:v>0.51233857840477492</c:v>
                </c:pt>
                <c:pt idx="75">
                  <c:v>0.5192620727075421</c:v>
                </c:pt>
                <c:pt idx="76">
                  <c:v>0.52618556701030939</c:v>
                </c:pt>
                <c:pt idx="77">
                  <c:v>0.53310906131307656</c:v>
                </c:pt>
                <c:pt idx="78">
                  <c:v>0.54003255561584385</c:v>
                </c:pt>
                <c:pt idx="79">
                  <c:v>0.54695604991861113</c:v>
                </c:pt>
                <c:pt idx="80">
                  <c:v>0.55387954422137831</c:v>
                </c:pt>
                <c:pt idx="81">
                  <c:v>0.56080303852414559</c:v>
                </c:pt>
                <c:pt idx="82">
                  <c:v>0.56772653282691266</c:v>
                </c:pt>
                <c:pt idx="83">
                  <c:v>0.57465002712967983</c:v>
                </c:pt>
                <c:pt idx="84">
                  <c:v>0.58157352143244712</c:v>
                </c:pt>
                <c:pt idx="85">
                  <c:v>0.58849701573521429</c:v>
                </c:pt>
                <c:pt idx="86">
                  <c:v>0.59542051003798158</c:v>
                </c:pt>
                <c:pt idx="87">
                  <c:v>0.60234400434074875</c:v>
                </c:pt>
                <c:pt idx="88">
                  <c:v>0.60926749864351604</c:v>
                </c:pt>
                <c:pt idx="89">
                  <c:v>0.61619099294628332</c:v>
                </c:pt>
                <c:pt idx="90">
                  <c:v>0.62311448724905061</c:v>
                </c:pt>
                <c:pt idx="91">
                  <c:v>0.63003798155181778</c:v>
                </c:pt>
                <c:pt idx="92">
                  <c:v>0.63696147585458496</c:v>
                </c:pt>
                <c:pt idx="93">
                  <c:v>0.64388497015735224</c:v>
                </c:pt>
                <c:pt idx="94">
                  <c:v>0.65080846446011942</c:v>
                </c:pt>
                <c:pt idx="95">
                  <c:v>0.6577319587628867</c:v>
                </c:pt>
                <c:pt idx="96">
                  <c:v>0.66465545306565388</c:v>
                </c:pt>
                <c:pt idx="97">
                  <c:v>0.67157894736842116</c:v>
                </c:pt>
                <c:pt idx="98">
                  <c:v>0.67850244167118823</c:v>
                </c:pt>
                <c:pt idx="99">
                  <c:v>0.68542593597395551</c:v>
                </c:pt>
                <c:pt idx="100">
                  <c:v>0.6923494302767228</c:v>
                </c:pt>
              </c:numCache>
            </c:numRef>
          </c:val>
          <c:smooth val="0"/>
        </c:ser>
        <c:ser>
          <c:idx val="2"/>
          <c:order val="2"/>
          <c:tx>
            <c:v>VIN-max</c:v>
          </c:tx>
          <c:spPr>
            <a:ln>
              <a:solidFill>
                <a:srgbClr val="FF0000"/>
              </a:solidFill>
              <a:prstDash val="solid"/>
            </a:ln>
          </c:spPr>
          <c:marker>
            <c:symbol val="none"/>
          </c:marker>
          <c:val>
            <c:numRef>
              <c:f>'Calculations - Single'!$AJ$216:$AJ$316</c:f>
              <c:numCache>
                <c:formatCode>0.000</c:formatCode>
                <c:ptCount val="101"/>
                <c:pt idx="0">
                  <c:v>0.28999999999999998</c:v>
                </c:pt>
                <c:pt idx="1">
                  <c:v>0.28999999999999998</c:v>
                </c:pt>
                <c:pt idx="2">
                  <c:v>0.28999999999999998</c:v>
                </c:pt>
                <c:pt idx="3">
                  <c:v>0.28999999999999998</c:v>
                </c:pt>
                <c:pt idx="4">
                  <c:v>0.28999999999999998</c:v>
                </c:pt>
                <c:pt idx="5">
                  <c:v>0.28999999999999998</c:v>
                </c:pt>
                <c:pt idx="6">
                  <c:v>0.28999999999999998</c:v>
                </c:pt>
                <c:pt idx="7">
                  <c:v>0.28999999999999998</c:v>
                </c:pt>
                <c:pt idx="8">
                  <c:v>0.28999999999999998</c:v>
                </c:pt>
                <c:pt idx="9">
                  <c:v>0.28999999999999998</c:v>
                </c:pt>
                <c:pt idx="10">
                  <c:v>0.28999999999999998</c:v>
                </c:pt>
                <c:pt idx="11">
                  <c:v>0.28999999999999998</c:v>
                </c:pt>
                <c:pt idx="12">
                  <c:v>0.28999999999999998</c:v>
                </c:pt>
                <c:pt idx="13">
                  <c:v>0.28999999999999998</c:v>
                </c:pt>
                <c:pt idx="14">
                  <c:v>0.28999999999999998</c:v>
                </c:pt>
                <c:pt idx="15">
                  <c:v>0.28999999999999998</c:v>
                </c:pt>
                <c:pt idx="16">
                  <c:v>0.28999999999999998</c:v>
                </c:pt>
                <c:pt idx="17">
                  <c:v>0.28999999999999998</c:v>
                </c:pt>
                <c:pt idx="18">
                  <c:v>0.28999999999999998</c:v>
                </c:pt>
                <c:pt idx="19">
                  <c:v>0.28999999999999998</c:v>
                </c:pt>
                <c:pt idx="20">
                  <c:v>0.28999999999999998</c:v>
                </c:pt>
                <c:pt idx="21">
                  <c:v>0.28999999999999998</c:v>
                </c:pt>
                <c:pt idx="22">
                  <c:v>0.28999999999999998</c:v>
                </c:pt>
                <c:pt idx="23">
                  <c:v>0.28999999999999998</c:v>
                </c:pt>
                <c:pt idx="24">
                  <c:v>0.28999999999999998</c:v>
                </c:pt>
                <c:pt idx="25">
                  <c:v>0.28999999999999998</c:v>
                </c:pt>
                <c:pt idx="26">
                  <c:v>0.29038283084550304</c:v>
                </c:pt>
                <c:pt idx="27">
                  <c:v>0.29591442942863222</c:v>
                </c:pt>
                <c:pt idx="28">
                  <c:v>0.3013445049080834</c:v>
                </c:pt>
                <c:pt idx="29">
                  <c:v>0.30667845006215028</c:v>
                </c:pt>
                <c:pt idx="30">
                  <c:v>0.31192119650121203</c:v>
                </c:pt>
                <c:pt idx="31">
                  <c:v>0.31707726806091391</c:v>
                </c:pt>
                <c:pt idx="32">
                  <c:v>0.32215082650087612</c:v>
                </c:pt>
                <c:pt idx="33">
                  <c:v>0.32714571082229171</c:v>
                </c:pt>
                <c:pt idx="34">
                  <c:v>0.33206547126078528</c:v>
                </c:pt>
                <c:pt idx="35">
                  <c:v>0.33691339881024673</c:v>
                </c:pt>
                <c:pt idx="36">
                  <c:v>0.34169255097543061</c:v>
                </c:pt>
                <c:pt idx="37">
                  <c:v>0.34640577432589398</c:v>
                </c:pt>
                <c:pt idx="38">
                  <c:v>0.35105572432385596</c:v>
                </c:pt>
                <c:pt idx="39">
                  <c:v>0.35564488281820117</c:v>
                </c:pt>
                <c:pt idx="40">
                  <c:v>0.36017557353184987</c:v>
                </c:pt>
                <c:pt idx="41">
                  <c:v>0.36464997581683983</c:v>
                </c:pt>
                <c:pt idx="42">
                  <c:v>0.36907013690821266</c:v>
                </c:pt>
                <c:pt idx="43">
                  <c:v>0.37343798287221902</c:v>
                </c:pt>
                <c:pt idx="44">
                  <c:v>0.37775532841496312</c:v>
                </c:pt>
                <c:pt idx="45">
                  <c:v>0.38202388569318751</c:v>
                </c:pt>
                <c:pt idx="46">
                  <c:v>0.38624527224853705</c:v>
                </c:pt>
                <c:pt idx="47">
                  <c:v>0.39042101816957991</c:v>
                </c:pt>
                <c:pt idx="48">
                  <c:v>0.39455257257150961</c:v>
                </c:pt>
                <c:pt idx="49">
                  <c:v>0.39864130947133575</c:v>
                </c:pt>
                <c:pt idx="50">
                  <c:v>0.40268853312609515</c:v>
                </c:pt>
                <c:pt idx="51">
                  <c:v>0.40669548289287794</c:v>
                </c:pt>
                <c:pt idx="52">
                  <c:v>0.41066333766200275</c:v>
                </c:pt>
                <c:pt idx="53">
                  <c:v>0.41459321990828674</c:v>
                </c:pt>
                <c:pt idx="54">
                  <c:v>0.41848619939986781</c:v>
                </c:pt>
                <c:pt idx="55">
                  <c:v>0.4223432965993078</c:v>
                </c:pt>
                <c:pt idx="56">
                  <c:v>0.42616548578761726</c:v>
                </c:pt>
                <c:pt idx="57">
                  <c:v>0.42995369793830202</c:v>
                </c:pt>
                <c:pt idx="58">
                  <c:v>0.43370882336545286</c:v>
                </c:pt>
                <c:pt idx="59">
                  <c:v>0.43743171416721782</c:v>
                </c:pt>
                <c:pt idx="60">
                  <c:v>0.44112318648365728</c:v>
                </c:pt>
                <c:pt idx="61">
                  <c:v>0.4447840225859292</c:v>
                </c:pt>
                <c:pt idx="62">
                  <c:v>0.44841497281195386</c:v>
                </c:pt>
                <c:pt idx="63">
                  <c:v>0.45201675736212504</c:v>
                </c:pt>
                <c:pt idx="64">
                  <c:v>0.45559006796724089</c:v>
                </c:pt>
                <c:pt idx="65">
                  <c:v>0.45913556943959388</c:v>
                </c:pt>
                <c:pt idx="66">
                  <c:v>0.46265390111707155</c:v>
                </c:pt>
                <c:pt idx="67">
                  <c:v>0.46614567820915165</c:v>
                </c:pt>
                <c:pt idx="68">
                  <c:v>0.4696114930528158</c:v>
                </c:pt>
                <c:pt idx="69">
                  <c:v>0.4730519162856438</c:v>
                </c:pt>
                <c:pt idx="70">
                  <c:v>0.4764674979426663</c:v>
                </c:pt>
                <c:pt idx="71">
                  <c:v>0.47985876848294606</c:v>
                </c:pt>
                <c:pt idx="72">
                  <c:v>0.48322623975131412</c:v>
                </c:pt>
                <c:pt idx="73">
                  <c:v>0.48657040588019684</c:v>
                </c:pt>
                <c:pt idx="74">
                  <c:v>0.48989174413603298</c:v>
                </c:pt>
                <c:pt idx="75">
                  <c:v>0.49319071571438705</c:v>
                </c:pt>
                <c:pt idx="76">
                  <c:v>0.49646776648750751</c:v>
                </c:pt>
                <c:pt idx="77">
                  <c:v>0.4997233277077619</c:v>
                </c:pt>
                <c:pt idx="78">
                  <c:v>0.50295781667009021</c:v>
                </c:pt>
                <c:pt idx="79">
                  <c:v>0.5061716373363575</c:v>
                </c:pt>
                <c:pt idx="80">
                  <c:v>0.50936518092425009</c:v>
                </c:pt>
                <c:pt idx="81">
                  <c:v>0.51253882646314597</c:v>
                </c:pt>
                <c:pt idx="82">
                  <c:v>0.51569294131919596</c:v>
                </c:pt>
                <c:pt idx="83">
                  <c:v>0.51882788169167304</c:v>
                </c:pt>
                <c:pt idx="84">
                  <c:v>0.52194399308248929</c:v>
                </c:pt>
                <c:pt idx="85">
                  <c:v>0.52504161074063316</c:v>
                </c:pt>
                <c:pt idx="86">
                  <c:v>0.52812106008314375</c:v>
                </c:pt>
                <c:pt idx="87">
                  <c:v>0.53118265709411905</c:v>
                </c:pt>
                <c:pt idx="88">
                  <c:v>0.53422670870314348</c:v>
                </c:pt>
                <c:pt idx="89">
                  <c:v>0.53725351314441705</c:v>
                </c:pt>
                <c:pt idx="90">
                  <c:v>0.54026336029777478</c:v>
                </c:pt>
                <c:pt idx="91">
                  <c:v>0.54325653201270219</c:v>
                </c:pt>
                <c:pt idx="92">
                  <c:v>0.54623330241636958</c:v>
                </c:pt>
                <c:pt idx="93">
                  <c:v>0.54919393820663931</c:v>
                </c:pt>
                <c:pt idx="94">
                  <c:v>0.55213869893093248</c:v>
                </c:pt>
                <c:pt idx="95">
                  <c:v>0.55506783725177933</c:v>
                </c:pt>
                <c:pt idx="96">
                  <c:v>0.55798159919982371</c:v>
                </c:pt>
                <c:pt idx="97">
                  <c:v>0.5608802244149973</c:v>
                </c:pt>
                <c:pt idx="98">
                  <c:v>0.58772349430276727</c:v>
                </c:pt>
                <c:pt idx="99">
                  <c:v>0.59372067281606089</c:v>
                </c:pt>
                <c:pt idx="100">
                  <c:v>0.5997178513293544</c:v>
                </c:pt>
              </c:numCache>
            </c:numRef>
          </c:val>
          <c:smooth val="0"/>
        </c:ser>
        <c:dLbls>
          <c:showLegendKey val="0"/>
          <c:showVal val="0"/>
          <c:showCatName val="0"/>
          <c:showSerName val="0"/>
          <c:showPercent val="0"/>
          <c:showBubbleSize val="0"/>
        </c:dLbls>
        <c:marker val="1"/>
        <c:smooth val="0"/>
        <c:axId val="186969088"/>
        <c:axId val="187319424"/>
      </c:lineChart>
      <c:catAx>
        <c:axId val="186969088"/>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87319424"/>
        <c:crosses val="autoZero"/>
        <c:auto val="1"/>
        <c:lblAlgn val="ctr"/>
        <c:lblOffset val="100"/>
        <c:tickLblSkip val="20"/>
        <c:tickMarkSkip val="10"/>
        <c:noMultiLvlLbl val="0"/>
      </c:catAx>
      <c:valAx>
        <c:axId val="187319424"/>
        <c:scaling>
          <c:orientation val="minMax"/>
          <c:max val="1.4"/>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86969088"/>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Single'!$AM$5:$AM$105</c:f>
              <c:numCache>
                <c:formatCode>0</c:formatCode>
                <c:ptCount val="101"/>
                <c:pt idx="0">
                  <c:v>1.0000000000000002E-6</c:v>
                </c:pt>
                <c:pt idx="1">
                  <c:v>1.1000000000000001</c:v>
                </c:pt>
                <c:pt idx="2">
                  <c:v>2.2000000000000002</c:v>
                </c:pt>
                <c:pt idx="3">
                  <c:v>3.3</c:v>
                </c:pt>
                <c:pt idx="4">
                  <c:v>4.4000000000000004</c:v>
                </c:pt>
                <c:pt idx="5">
                  <c:v>5.5000000000000009</c:v>
                </c:pt>
                <c:pt idx="6">
                  <c:v>6.6</c:v>
                </c:pt>
                <c:pt idx="7">
                  <c:v>7.7000000000000011</c:v>
                </c:pt>
                <c:pt idx="8">
                  <c:v>8.8000000000000007</c:v>
                </c:pt>
                <c:pt idx="9">
                  <c:v>9.8999999999999986</c:v>
                </c:pt>
                <c:pt idx="10">
                  <c:v>11.000000000000002</c:v>
                </c:pt>
                <c:pt idx="11">
                  <c:v>12.1</c:v>
                </c:pt>
                <c:pt idx="12">
                  <c:v>13.2</c:v>
                </c:pt>
                <c:pt idx="13">
                  <c:v>14.3</c:v>
                </c:pt>
                <c:pt idx="14">
                  <c:v>15.400000000000002</c:v>
                </c:pt>
                <c:pt idx="15">
                  <c:v>16.5</c:v>
                </c:pt>
                <c:pt idx="16">
                  <c:v>17.600000000000001</c:v>
                </c:pt>
                <c:pt idx="17">
                  <c:v>18.700000000000003</c:v>
                </c:pt>
                <c:pt idx="18">
                  <c:v>19.799999999999997</c:v>
                </c:pt>
                <c:pt idx="19">
                  <c:v>20.900000000000002</c:v>
                </c:pt>
                <c:pt idx="20">
                  <c:v>22.000000000000004</c:v>
                </c:pt>
                <c:pt idx="21">
                  <c:v>23.099999999999998</c:v>
                </c:pt>
                <c:pt idx="22">
                  <c:v>24.2</c:v>
                </c:pt>
                <c:pt idx="23">
                  <c:v>25.3</c:v>
                </c:pt>
                <c:pt idx="24">
                  <c:v>26.4</c:v>
                </c:pt>
                <c:pt idx="25">
                  <c:v>27.5</c:v>
                </c:pt>
                <c:pt idx="26">
                  <c:v>28.6</c:v>
                </c:pt>
                <c:pt idx="27">
                  <c:v>29.7</c:v>
                </c:pt>
                <c:pt idx="28">
                  <c:v>30.800000000000004</c:v>
                </c:pt>
                <c:pt idx="29">
                  <c:v>31.9</c:v>
                </c:pt>
                <c:pt idx="30">
                  <c:v>33</c:v>
                </c:pt>
                <c:pt idx="31">
                  <c:v>34.1</c:v>
                </c:pt>
                <c:pt idx="32">
                  <c:v>35.200000000000003</c:v>
                </c:pt>
                <c:pt idx="33">
                  <c:v>36.299999999999997</c:v>
                </c:pt>
                <c:pt idx="34">
                  <c:v>37.400000000000006</c:v>
                </c:pt>
                <c:pt idx="35">
                  <c:v>38.5</c:v>
                </c:pt>
                <c:pt idx="36">
                  <c:v>39.599999999999994</c:v>
                </c:pt>
                <c:pt idx="37">
                  <c:v>40.700000000000003</c:v>
                </c:pt>
                <c:pt idx="38">
                  <c:v>41.800000000000004</c:v>
                </c:pt>
                <c:pt idx="39">
                  <c:v>42.9</c:v>
                </c:pt>
                <c:pt idx="40">
                  <c:v>44.000000000000007</c:v>
                </c:pt>
                <c:pt idx="41">
                  <c:v>45.099999999999994</c:v>
                </c:pt>
                <c:pt idx="42">
                  <c:v>46.199999999999996</c:v>
                </c:pt>
                <c:pt idx="43">
                  <c:v>47.300000000000004</c:v>
                </c:pt>
                <c:pt idx="44">
                  <c:v>48.4</c:v>
                </c:pt>
                <c:pt idx="45">
                  <c:v>49.5</c:v>
                </c:pt>
                <c:pt idx="46">
                  <c:v>50.6</c:v>
                </c:pt>
                <c:pt idx="47">
                  <c:v>51.699999999999996</c:v>
                </c:pt>
                <c:pt idx="48">
                  <c:v>52.8</c:v>
                </c:pt>
                <c:pt idx="49">
                  <c:v>53.9</c:v>
                </c:pt>
                <c:pt idx="50">
                  <c:v>55</c:v>
                </c:pt>
                <c:pt idx="51">
                  <c:v>56.1</c:v>
                </c:pt>
                <c:pt idx="52">
                  <c:v>57.2</c:v>
                </c:pt>
                <c:pt idx="53">
                  <c:v>58.300000000000004</c:v>
                </c:pt>
                <c:pt idx="54">
                  <c:v>59.4</c:v>
                </c:pt>
                <c:pt idx="55">
                  <c:v>60.500000000000007</c:v>
                </c:pt>
                <c:pt idx="56">
                  <c:v>61.600000000000009</c:v>
                </c:pt>
                <c:pt idx="57">
                  <c:v>62.699999999999989</c:v>
                </c:pt>
                <c:pt idx="58">
                  <c:v>63.8</c:v>
                </c:pt>
                <c:pt idx="59">
                  <c:v>64.900000000000006</c:v>
                </c:pt>
                <c:pt idx="60">
                  <c:v>66</c:v>
                </c:pt>
                <c:pt idx="61">
                  <c:v>67.099999999999994</c:v>
                </c:pt>
                <c:pt idx="62">
                  <c:v>68.2</c:v>
                </c:pt>
                <c:pt idx="63">
                  <c:v>69.3</c:v>
                </c:pt>
                <c:pt idx="64">
                  <c:v>70.400000000000006</c:v>
                </c:pt>
                <c:pt idx="65">
                  <c:v>71.500000000000014</c:v>
                </c:pt>
                <c:pt idx="66">
                  <c:v>72.599999999999994</c:v>
                </c:pt>
                <c:pt idx="67">
                  <c:v>73.7</c:v>
                </c:pt>
                <c:pt idx="68">
                  <c:v>74.800000000000011</c:v>
                </c:pt>
                <c:pt idx="69">
                  <c:v>75.899999999999991</c:v>
                </c:pt>
                <c:pt idx="70">
                  <c:v>77</c:v>
                </c:pt>
                <c:pt idx="71">
                  <c:v>78.100000000000009</c:v>
                </c:pt>
                <c:pt idx="72">
                  <c:v>79.199999999999989</c:v>
                </c:pt>
                <c:pt idx="73">
                  <c:v>80.3</c:v>
                </c:pt>
                <c:pt idx="74">
                  <c:v>81.400000000000006</c:v>
                </c:pt>
                <c:pt idx="75">
                  <c:v>82.5</c:v>
                </c:pt>
                <c:pt idx="76">
                  <c:v>83.600000000000009</c:v>
                </c:pt>
                <c:pt idx="77">
                  <c:v>84.7</c:v>
                </c:pt>
                <c:pt idx="78">
                  <c:v>85.8</c:v>
                </c:pt>
                <c:pt idx="79">
                  <c:v>86.9</c:v>
                </c:pt>
                <c:pt idx="80">
                  <c:v>88.000000000000014</c:v>
                </c:pt>
                <c:pt idx="81">
                  <c:v>89.100000000000009</c:v>
                </c:pt>
                <c:pt idx="82">
                  <c:v>90.199999999999989</c:v>
                </c:pt>
                <c:pt idx="83">
                  <c:v>91.3</c:v>
                </c:pt>
                <c:pt idx="84">
                  <c:v>92.399999999999991</c:v>
                </c:pt>
                <c:pt idx="85">
                  <c:v>93.5</c:v>
                </c:pt>
                <c:pt idx="86">
                  <c:v>94.600000000000009</c:v>
                </c:pt>
                <c:pt idx="87">
                  <c:v>95.699999999999989</c:v>
                </c:pt>
                <c:pt idx="88">
                  <c:v>96.8</c:v>
                </c:pt>
                <c:pt idx="89">
                  <c:v>97.9</c:v>
                </c:pt>
                <c:pt idx="90">
                  <c:v>99</c:v>
                </c:pt>
                <c:pt idx="91">
                  <c:v>100.10000000000001</c:v>
                </c:pt>
                <c:pt idx="92">
                  <c:v>101.2</c:v>
                </c:pt>
                <c:pt idx="93">
                  <c:v>102.3</c:v>
                </c:pt>
                <c:pt idx="94">
                  <c:v>103.39999999999999</c:v>
                </c:pt>
                <c:pt idx="95">
                  <c:v>104.5</c:v>
                </c:pt>
                <c:pt idx="96">
                  <c:v>105.6</c:v>
                </c:pt>
                <c:pt idx="97">
                  <c:v>106.7</c:v>
                </c:pt>
                <c:pt idx="98">
                  <c:v>107.8</c:v>
                </c:pt>
                <c:pt idx="99">
                  <c:v>108.89999999999999</c:v>
                </c:pt>
                <c:pt idx="100">
                  <c:v>110</c:v>
                </c:pt>
              </c:numCache>
            </c:numRef>
          </c:cat>
          <c:val>
            <c:numRef>
              <c:f>'Calculations - Single'!$AN$110:$AN$210</c:f>
              <c:numCache>
                <c:formatCode>0.0</c:formatCode>
                <c:ptCount val="101"/>
                <c:pt idx="0">
                  <c:v>10</c:v>
                </c:pt>
                <c:pt idx="1">
                  <c:v>13.497103245882565</c:v>
                </c:pt>
                <c:pt idx="2">
                  <c:v>26.99420649176513</c:v>
                </c:pt>
                <c:pt idx="3">
                  <c:v>40.491309737647697</c:v>
                </c:pt>
                <c:pt idx="4">
                  <c:v>53.98841298353026</c:v>
                </c:pt>
                <c:pt idx="5">
                  <c:v>67.485516229412823</c:v>
                </c:pt>
                <c:pt idx="6">
                  <c:v>80.982619475295394</c:v>
                </c:pt>
                <c:pt idx="7">
                  <c:v>94.479722721177964</c:v>
                </c:pt>
                <c:pt idx="8">
                  <c:v>107.97682596706052</c:v>
                </c:pt>
                <c:pt idx="9">
                  <c:v>121.47392921294306</c:v>
                </c:pt>
                <c:pt idx="10">
                  <c:v>134.97103245882565</c:v>
                </c:pt>
                <c:pt idx="11">
                  <c:v>148.4681357047082</c:v>
                </c:pt>
                <c:pt idx="12">
                  <c:v>161.96523895059079</c:v>
                </c:pt>
                <c:pt idx="13">
                  <c:v>175.46234219647332</c:v>
                </c:pt>
                <c:pt idx="14">
                  <c:v>188.95944544235593</c:v>
                </c:pt>
                <c:pt idx="15">
                  <c:v>202.45654868823846</c:v>
                </c:pt>
                <c:pt idx="16">
                  <c:v>215.95365193412104</c:v>
                </c:pt>
                <c:pt idx="17">
                  <c:v>229.45075518000363</c:v>
                </c:pt>
                <c:pt idx="18">
                  <c:v>242.94785842588612</c:v>
                </c:pt>
                <c:pt idx="19">
                  <c:v>256.44496167176874</c:v>
                </c:pt>
                <c:pt idx="20">
                  <c:v>269.94206491765129</c:v>
                </c:pt>
                <c:pt idx="21">
                  <c:v>283.43916816353385</c:v>
                </c:pt>
                <c:pt idx="22">
                  <c:v>296.93627140941641</c:v>
                </c:pt>
                <c:pt idx="23">
                  <c:v>310.43337465529896</c:v>
                </c:pt>
                <c:pt idx="24">
                  <c:v>323.93047790118158</c:v>
                </c:pt>
                <c:pt idx="25">
                  <c:v>337.42758114706413</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348.92450378220411</c:v>
                </c:pt>
                <c:pt idx="56">
                  <c:v>342.69370907180763</c:v>
                </c:pt>
                <c:pt idx="57">
                  <c:v>336.68153873721462</c:v>
                </c:pt>
                <c:pt idx="58">
                  <c:v>330.87668462105569</c:v>
                </c:pt>
                <c:pt idx="59">
                  <c:v>325.26860522069882</c:v>
                </c:pt>
                <c:pt idx="60">
                  <c:v>319.8474618003537</c:v>
                </c:pt>
                <c:pt idx="61">
                  <c:v>314.60406078723332</c:v>
                </c:pt>
                <c:pt idx="62">
                  <c:v>309.52980174227793</c:v>
                </c:pt>
                <c:pt idx="63">
                  <c:v>304.6166302860513</c:v>
                </c:pt>
                <c:pt idx="64">
                  <c:v>299.8569954378317</c:v>
                </c:pt>
                <c:pt idx="65">
                  <c:v>295.24381089263426</c:v>
                </c:pt>
                <c:pt idx="66">
                  <c:v>290.77041981850351</c:v>
                </c:pt>
                <c:pt idx="67">
                  <c:v>286.43056280628701</c:v>
                </c:pt>
                <c:pt idx="68">
                  <c:v>282.21834864737099</c:v>
                </c:pt>
                <c:pt idx="69">
                  <c:v>278.1282276524816</c:v>
                </c:pt>
                <c:pt idx="70">
                  <c:v>274.15496725744623</c:v>
                </c:pt>
                <c:pt idx="71">
                  <c:v>270.29362969043979</c:v>
                </c:pt>
                <c:pt idx="72">
                  <c:v>266.53955150029486</c:v>
                </c:pt>
                <c:pt idx="73">
                  <c:v>262.88832476741408</c:v>
                </c:pt>
                <c:pt idx="74">
                  <c:v>259.33577983812472</c:v>
                </c:pt>
                <c:pt idx="75">
                  <c:v>255.87796944028307</c:v>
                </c:pt>
                <c:pt idx="76">
                  <c:v>252.51115405291091</c:v>
                </c:pt>
                <c:pt idx="77">
                  <c:v>249.23178841586011</c:v>
                </c:pt>
                <c:pt idx="78">
                  <c:v>246.03650907719523</c:v>
                </c:pt>
                <c:pt idx="79">
                  <c:v>242.92212288634462</c:v>
                </c:pt>
                <c:pt idx="80">
                  <c:v>239.88559635026533</c:v>
                </c:pt>
                <c:pt idx="81">
                  <c:v>236.92404577803984</c:v>
                </c:pt>
                <c:pt idx="82">
                  <c:v>234.03472814660037</c:v>
                </c:pt>
                <c:pt idx="83">
                  <c:v>231.21503262676183</c:v>
                </c:pt>
                <c:pt idx="84">
                  <c:v>228.46247271453842</c:v>
                </c:pt>
                <c:pt idx="85">
                  <c:v>225.77467891789686</c:v>
                </c:pt>
                <c:pt idx="86">
                  <c:v>223.14939195373526</c:v>
                </c:pt>
                <c:pt idx="87">
                  <c:v>220.58445641403711</c:v>
                </c:pt>
                <c:pt idx="88">
                  <c:v>218.07781486387765</c:v>
                </c:pt>
                <c:pt idx="89">
                  <c:v>215.62750233731717</c:v>
                </c:pt>
                <c:pt idx="90">
                  <c:v>213.23164120023583</c:v>
                </c:pt>
                <c:pt idx="91">
                  <c:v>210.88843635188164</c:v>
                </c:pt>
                <c:pt idx="92">
                  <c:v>208.59617073936124</c:v>
                </c:pt>
                <c:pt idx="93">
                  <c:v>206.35320116151857</c:v>
                </c:pt>
                <c:pt idx="94">
                  <c:v>204.1579543406514</c:v>
                </c:pt>
                <c:pt idx="95">
                  <c:v>202.00892324232871</c:v>
                </c:pt>
                <c:pt idx="96">
                  <c:v>199.90466362522113</c:v>
                </c:pt>
                <c:pt idx="97">
                  <c:v>197.84379080434258</c:v>
                </c:pt>
                <c:pt idx="98">
                  <c:v>195.82497661246151</c:v>
                </c:pt>
                <c:pt idx="99">
                  <c:v>193.846946545669</c:v>
                </c:pt>
                <c:pt idx="100">
                  <c:v>191.90847708021229</c:v>
                </c:pt>
              </c:numCache>
            </c:numRef>
          </c:val>
          <c:smooth val="0"/>
        </c:ser>
        <c:ser>
          <c:idx val="0"/>
          <c:order val="1"/>
          <c:tx>
            <c:v>VIN-nom</c:v>
          </c:tx>
          <c:spPr>
            <a:ln w="28575">
              <a:solidFill>
                <a:srgbClr val="FF0000"/>
              </a:solidFill>
              <a:prstDash val="lgDash"/>
            </a:ln>
          </c:spPr>
          <c:marker>
            <c:symbol val="none"/>
          </c:marker>
          <c:cat>
            <c:numRef>
              <c:f>'Calculations - Single'!$AM$5:$AM$105</c:f>
              <c:numCache>
                <c:formatCode>0</c:formatCode>
                <c:ptCount val="101"/>
                <c:pt idx="0">
                  <c:v>1.0000000000000002E-6</c:v>
                </c:pt>
                <c:pt idx="1">
                  <c:v>1.1000000000000001</c:v>
                </c:pt>
                <c:pt idx="2">
                  <c:v>2.2000000000000002</c:v>
                </c:pt>
                <c:pt idx="3">
                  <c:v>3.3</c:v>
                </c:pt>
                <c:pt idx="4">
                  <c:v>4.4000000000000004</c:v>
                </c:pt>
                <c:pt idx="5">
                  <c:v>5.5000000000000009</c:v>
                </c:pt>
                <c:pt idx="6">
                  <c:v>6.6</c:v>
                </c:pt>
                <c:pt idx="7">
                  <c:v>7.7000000000000011</c:v>
                </c:pt>
                <c:pt idx="8">
                  <c:v>8.8000000000000007</c:v>
                </c:pt>
                <c:pt idx="9">
                  <c:v>9.8999999999999986</c:v>
                </c:pt>
                <c:pt idx="10">
                  <c:v>11.000000000000002</c:v>
                </c:pt>
                <c:pt idx="11">
                  <c:v>12.1</c:v>
                </c:pt>
                <c:pt idx="12">
                  <c:v>13.2</c:v>
                </c:pt>
                <c:pt idx="13">
                  <c:v>14.3</c:v>
                </c:pt>
                <c:pt idx="14">
                  <c:v>15.400000000000002</c:v>
                </c:pt>
                <c:pt idx="15">
                  <c:v>16.5</c:v>
                </c:pt>
                <c:pt idx="16">
                  <c:v>17.600000000000001</c:v>
                </c:pt>
                <c:pt idx="17">
                  <c:v>18.700000000000003</c:v>
                </c:pt>
                <c:pt idx="18">
                  <c:v>19.799999999999997</c:v>
                </c:pt>
                <c:pt idx="19">
                  <c:v>20.900000000000002</c:v>
                </c:pt>
                <c:pt idx="20">
                  <c:v>22.000000000000004</c:v>
                </c:pt>
                <c:pt idx="21">
                  <c:v>23.099999999999998</c:v>
                </c:pt>
                <c:pt idx="22">
                  <c:v>24.2</c:v>
                </c:pt>
                <c:pt idx="23">
                  <c:v>25.3</c:v>
                </c:pt>
                <c:pt idx="24">
                  <c:v>26.4</c:v>
                </c:pt>
                <c:pt idx="25">
                  <c:v>27.5</c:v>
                </c:pt>
                <c:pt idx="26">
                  <c:v>28.6</c:v>
                </c:pt>
                <c:pt idx="27">
                  <c:v>29.7</c:v>
                </c:pt>
                <c:pt idx="28">
                  <c:v>30.800000000000004</c:v>
                </c:pt>
                <c:pt idx="29">
                  <c:v>31.9</c:v>
                </c:pt>
                <c:pt idx="30">
                  <c:v>33</c:v>
                </c:pt>
                <c:pt idx="31">
                  <c:v>34.1</c:v>
                </c:pt>
                <c:pt idx="32">
                  <c:v>35.200000000000003</c:v>
                </c:pt>
                <c:pt idx="33">
                  <c:v>36.299999999999997</c:v>
                </c:pt>
                <c:pt idx="34">
                  <c:v>37.400000000000006</c:v>
                </c:pt>
                <c:pt idx="35">
                  <c:v>38.5</c:v>
                </c:pt>
                <c:pt idx="36">
                  <c:v>39.599999999999994</c:v>
                </c:pt>
                <c:pt idx="37">
                  <c:v>40.700000000000003</c:v>
                </c:pt>
                <c:pt idx="38">
                  <c:v>41.800000000000004</c:v>
                </c:pt>
                <c:pt idx="39">
                  <c:v>42.9</c:v>
                </c:pt>
                <c:pt idx="40">
                  <c:v>44.000000000000007</c:v>
                </c:pt>
                <c:pt idx="41">
                  <c:v>45.099999999999994</c:v>
                </c:pt>
                <c:pt idx="42">
                  <c:v>46.199999999999996</c:v>
                </c:pt>
                <c:pt idx="43">
                  <c:v>47.300000000000004</c:v>
                </c:pt>
                <c:pt idx="44">
                  <c:v>48.4</c:v>
                </c:pt>
                <c:pt idx="45">
                  <c:v>49.5</c:v>
                </c:pt>
                <c:pt idx="46">
                  <c:v>50.6</c:v>
                </c:pt>
                <c:pt idx="47">
                  <c:v>51.699999999999996</c:v>
                </c:pt>
                <c:pt idx="48">
                  <c:v>52.8</c:v>
                </c:pt>
                <c:pt idx="49">
                  <c:v>53.9</c:v>
                </c:pt>
                <c:pt idx="50">
                  <c:v>55</c:v>
                </c:pt>
                <c:pt idx="51">
                  <c:v>56.1</c:v>
                </c:pt>
                <c:pt idx="52">
                  <c:v>57.2</c:v>
                </c:pt>
                <c:pt idx="53">
                  <c:v>58.300000000000004</c:v>
                </c:pt>
                <c:pt idx="54">
                  <c:v>59.4</c:v>
                </c:pt>
                <c:pt idx="55">
                  <c:v>60.500000000000007</c:v>
                </c:pt>
                <c:pt idx="56">
                  <c:v>61.600000000000009</c:v>
                </c:pt>
                <c:pt idx="57">
                  <c:v>62.699999999999989</c:v>
                </c:pt>
                <c:pt idx="58">
                  <c:v>63.8</c:v>
                </c:pt>
                <c:pt idx="59">
                  <c:v>64.900000000000006</c:v>
                </c:pt>
                <c:pt idx="60">
                  <c:v>66</c:v>
                </c:pt>
                <c:pt idx="61">
                  <c:v>67.099999999999994</c:v>
                </c:pt>
                <c:pt idx="62">
                  <c:v>68.2</c:v>
                </c:pt>
                <c:pt idx="63">
                  <c:v>69.3</c:v>
                </c:pt>
                <c:pt idx="64">
                  <c:v>70.400000000000006</c:v>
                </c:pt>
                <c:pt idx="65">
                  <c:v>71.500000000000014</c:v>
                </c:pt>
                <c:pt idx="66">
                  <c:v>72.599999999999994</c:v>
                </c:pt>
                <c:pt idx="67">
                  <c:v>73.7</c:v>
                </c:pt>
                <c:pt idx="68">
                  <c:v>74.800000000000011</c:v>
                </c:pt>
                <c:pt idx="69">
                  <c:v>75.899999999999991</c:v>
                </c:pt>
                <c:pt idx="70">
                  <c:v>77</c:v>
                </c:pt>
                <c:pt idx="71">
                  <c:v>78.100000000000009</c:v>
                </c:pt>
                <c:pt idx="72">
                  <c:v>79.199999999999989</c:v>
                </c:pt>
                <c:pt idx="73">
                  <c:v>80.3</c:v>
                </c:pt>
                <c:pt idx="74">
                  <c:v>81.400000000000006</c:v>
                </c:pt>
                <c:pt idx="75">
                  <c:v>82.5</c:v>
                </c:pt>
                <c:pt idx="76">
                  <c:v>83.600000000000009</c:v>
                </c:pt>
                <c:pt idx="77">
                  <c:v>84.7</c:v>
                </c:pt>
                <c:pt idx="78">
                  <c:v>85.8</c:v>
                </c:pt>
                <c:pt idx="79">
                  <c:v>86.9</c:v>
                </c:pt>
                <c:pt idx="80">
                  <c:v>88.000000000000014</c:v>
                </c:pt>
                <c:pt idx="81">
                  <c:v>89.100000000000009</c:v>
                </c:pt>
                <c:pt idx="82">
                  <c:v>90.199999999999989</c:v>
                </c:pt>
                <c:pt idx="83">
                  <c:v>91.3</c:v>
                </c:pt>
                <c:pt idx="84">
                  <c:v>92.399999999999991</c:v>
                </c:pt>
                <c:pt idx="85">
                  <c:v>93.5</c:v>
                </c:pt>
                <c:pt idx="86">
                  <c:v>94.600000000000009</c:v>
                </c:pt>
                <c:pt idx="87">
                  <c:v>95.699999999999989</c:v>
                </c:pt>
                <c:pt idx="88">
                  <c:v>96.8</c:v>
                </c:pt>
                <c:pt idx="89">
                  <c:v>97.9</c:v>
                </c:pt>
                <c:pt idx="90">
                  <c:v>99</c:v>
                </c:pt>
                <c:pt idx="91">
                  <c:v>100.10000000000001</c:v>
                </c:pt>
                <c:pt idx="92">
                  <c:v>101.2</c:v>
                </c:pt>
                <c:pt idx="93">
                  <c:v>102.3</c:v>
                </c:pt>
                <c:pt idx="94">
                  <c:v>103.39999999999999</c:v>
                </c:pt>
                <c:pt idx="95">
                  <c:v>104.5</c:v>
                </c:pt>
                <c:pt idx="96">
                  <c:v>105.6</c:v>
                </c:pt>
                <c:pt idx="97">
                  <c:v>106.7</c:v>
                </c:pt>
                <c:pt idx="98">
                  <c:v>107.8</c:v>
                </c:pt>
                <c:pt idx="99">
                  <c:v>108.89999999999999</c:v>
                </c:pt>
                <c:pt idx="100">
                  <c:v>110</c:v>
                </c:pt>
              </c:numCache>
            </c:numRef>
          </c:cat>
          <c:val>
            <c:numRef>
              <c:f>'Calculations - Single'!$AN$5:$AN$105</c:f>
              <c:numCache>
                <c:formatCode>0.0</c:formatCode>
                <c:ptCount val="101"/>
                <c:pt idx="0">
                  <c:v>10</c:v>
                </c:pt>
                <c:pt idx="1">
                  <c:v>13.497103245882565</c:v>
                </c:pt>
                <c:pt idx="2">
                  <c:v>26.99420649176513</c:v>
                </c:pt>
                <c:pt idx="3">
                  <c:v>40.491309737647697</c:v>
                </c:pt>
                <c:pt idx="4">
                  <c:v>53.98841298353026</c:v>
                </c:pt>
                <c:pt idx="5">
                  <c:v>67.485516229412823</c:v>
                </c:pt>
                <c:pt idx="6">
                  <c:v>80.982619475295394</c:v>
                </c:pt>
                <c:pt idx="7">
                  <c:v>94.479722721177964</c:v>
                </c:pt>
                <c:pt idx="8">
                  <c:v>107.97682596706052</c:v>
                </c:pt>
                <c:pt idx="9">
                  <c:v>121.47392921294306</c:v>
                </c:pt>
                <c:pt idx="10">
                  <c:v>134.97103245882565</c:v>
                </c:pt>
                <c:pt idx="11">
                  <c:v>148.4681357047082</c:v>
                </c:pt>
                <c:pt idx="12">
                  <c:v>161.96523895059079</c:v>
                </c:pt>
                <c:pt idx="13">
                  <c:v>175.46234219647332</c:v>
                </c:pt>
                <c:pt idx="14">
                  <c:v>188.95944544235593</c:v>
                </c:pt>
                <c:pt idx="15">
                  <c:v>202.45654868823846</c:v>
                </c:pt>
                <c:pt idx="16">
                  <c:v>215.95365193412104</c:v>
                </c:pt>
                <c:pt idx="17">
                  <c:v>229.45075518000363</c:v>
                </c:pt>
                <c:pt idx="18">
                  <c:v>242.94785842588612</c:v>
                </c:pt>
                <c:pt idx="19">
                  <c:v>256.44496167176874</c:v>
                </c:pt>
                <c:pt idx="20">
                  <c:v>269.94206491765129</c:v>
                </c:pt>
                <c:pt idx="21">
                  <c:v>283.43916816353385</c:v>
                </c:pt>
                <c:pt idx="22">
                  <c:v>296.93627140941641</c:v>
                </c:pt>
                <c:pt idx="23">
                  <c:v>310.43337465529896</c:v>
                </c:pt>
                <c:pt idx="24">
                  <c:v>323.93047790118158</c:v>
                </c:pt>
                <c:pt idx="25">
                  <c:v>337.42758114706413</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347.45889347682305</c:v>
                </c:pt>
                <c:pt idx="72">
                  <c:v>342.63307551186728</c:v>
                </c:pt>
                <c:pt idx="73">
                  <c:v>337.93947173773205</c:v>
                </c:pt>
                <c:pt idx="74">
                  <c:v>333.3727221196545</c:v>
                </c:pt>
                <c:pt idx="75">
                  <c:v>328.92775249139254</c:v>
                </c:pt>
                <c:pt idx="76">
                  <c:v>324.5997557480847</c:v>
                </c:pt>
                <c:pt idx="77">
                  <c:v>320.3841745046031</c:v>
                </c:pt>
                <c:pt idx="78">
                  <c:v>316.27668508787735</c:v>
                </c:pt>
                <c:pt idx="79">
                  <c:v>312.27318274499282</c:v>
                </c:pt>
                <c:pt idx="80">
                  <c:v>308.36976796068052</c:v>
                </c:pt>
                <c:pt idx="81">
                  <c:v>304.56273378832634</c:v>
                </c:pt>
                <c:pt idx="82">
                  <c:v>300.84855410798104</c:v>
                </c:pt>
                <c:pt idx="83">
                  <c:v>297.22387273318606</c:v>
                </c:pt>
                <c:pt idx="84">
                  <c:v>293.68549329588615</c:v>
                </c:pt>
                <c:pt idx="85">
                  <c:v>290.23036984534633</c:v>
                </c:pt>
                <c:pt idx="86">
                  <c:v>286.85559810295871</c:v>
                </c:pt>
                <c:pt idx="87">
                  <c:v>283.558407320166</c:v>
                </c:pt>
                <c:pt idx="88">
                  <c:v>280.33615269152773</c:v>
                </c:pt>
                <c:pt idx="89">
                  <c:v>277.1863082792633</c:v>
                </c:pt>
                <c:pt idx="90">
                  <c:v>274.10646040949371</c:v>
                </c:pt>
                <c:pt idx="91">
                  <c:v>271.09430150389488</c:v>
                </c:pt>
                <c:pt idx="92">
                  <c:v>268.14762431363522</c:v>
                </c:pt>
                <c:pt idx="93">
                  <c:v>265.26431652531659</c:v>
                </c:pt>
                <c:pt idx="94">
                  <c:v>262.44235571121743</c:v>
                </c:pt>
                <c:pt idx="95">
                  <c:v>259.6798045984678</c:v>
                </c:pt>
                <c:pt idx="96">
                  <c:v>256.97480663390036</c:v>
                </c:pt>
                <c:pt idx="97">
                  <c:v>254.32558182324161</c:v>
                </c:pt>
                <c:pt idx="98">
                  <c:v>251.73042282504531</c:v>
                </c:pt>
                <c:pt idx="99">
                  <c:v>249.18769128135801</c:v>
                </c:pt>
                <c:pt idx="100">
                  <c:v>246.6958143685444</c:v>
                </c:pt>
              </c:numCache>
            </c:numRef>
          </c:val>
          <c:smooth val="0"/>
        </c:ser>
        <c:ser>
          <c:idx val="2"/>
          <c:order val="2"/>
          <c:tx>
            <c:v>VIN-max</c:v>
          </c:tx>
          <c:spPr>
            <a:ln>
              <a:solidFill>
                <a:srgbClr val="0000FF"/>
              </a:solidFill>
              <a:prstDash val="solid"/>
            </a:ln>
          </c:spPr>
          <c:marker>
            <c:symbol val="none"/>
          </c:marker>
          <c:cat>
            <c:numRef>
              <c:f>'Calculations - Single'!$AM$5:$AM$105</c:f>
              <c:numCache>
                <c:formatCode>0</c:formatCode>
                <c:ptCount val="101"/>
                <c:pt idx="0">
                  <c:v>1.0000000000000002E-6</c:v>
                </c:pt>
                <c:pt idx="1">
                  <c:v>1.1000000000000001</c:v>
                </c:pt>
                <c:pt idx="2">
                  <c:v>2.2000000000000002</c:v>
                </c:pt>
                <c:pt idx="3">
                  <c:v>3.3</c:v>
                </c:pt>
                <c:pt idx="4">
                  <c:v>4.4000000000000004</c:v>
                </c:pt>
                <c:pt idx="5">
                  <c:v>5.5000000000000009</c:v>
                </c:pt>
                <c:pt idx="6">
                  <c:v>6.6</c:v>
                </c:pt>
                <c:pt idx="7">
                  <c:v>7.7000000000000011</c:v>
                </c:pt>
                <c:pt idx="8">
                  <c:v>8.8000000000000007</c:v>
                </c:pt>
                <c:pt idx="9">
                  <c:v>9.8999999999999986</c:v>
                </c:pt>
                <c:pt idx="10">
                  <c:v>11.000000000000002</c:v>
                </c:pt>
                <c:pt idx="11">
                  <c:v>12.1</c:v>
                </c:pt>
                <c:pt idx="12">
                  <c:v>13.2</c:v>
                </c:pt>
                <c:pt idx="13">
                  <c:v>14.3</c:v>
                </c:pt>
                <c:pt idx="14">
                  <c:v>15.400000000000002</c:v>
                </c:pt>
                <c:pt idx="15">
                  <c:v>16.5</c:v>
                </c:pt>
                <c:pt idx="16">
                  <c:v>17.600000000000001</c:v>
                </c:pt>
                <c:pt idx="17">
                  <c:v>18.700000000000003</c:v>
                </c:pt>
                <c:pt idx="18">
                  <c:v>19.799999999999997</c:v>
                </c:pt>
                <c:pt idx="19">
                  <c:v>20.900000000000002</c:v>
                </c:pt>
                <c:pt idx="20">
                  <c:v>22.000000000000004</c:v>
                </c:pt>
                <c:pt idx="21">
                  <c:v>23.099999999999998</c:v>
                </c:pt>
                <c:pt idx="22">
                  <c:v>24.2</c:v>
                </c:pt>
                <c:pt idx="23">
                  <c:v>25.3</c:v>
                </c:pt>
                <c:pt idx="24">
                  <c:v>26.4</c:v>
                </c:pt>
                <c:pt idx="25">
                  <c:v>27.5</c:v>
                </c:pt>
                <c:pt idx="26">
                  <c:v>28.6</c:v>
                </c:pt>
                <c:pt idx="27">
                  <c:v>29.7</c:v>
                </c:pt>
                <c:pt idx="28">
                  <c:v>30.800000000000004</c:v>
                </c:pt>
                <c:pt idx="29">
                  <c:v>31.9</c:v>
                </c:pt>
                <c:pt idx="30">
                  <c:v>33</c:v>
                </c:pt>
                <c:pt idx="31">
                  <c:v>34.1</c:v>
                </c:pt>
                <c:pt idx="32">
                  <c:v>35.200000000000003</c:v>
                </c:pt>
                <c:pt idx="33">
                  <c:v>36.299999999999997</c:v>
                </c:pt>
                <c:pt idx="34">
                  <c:v>37.400000000000006</c:v>
                </c:pt>
                <c:pt idx="35">
                  <c:v>38.5</c:v>
                </c:pt>
                <c:pt idx="36">
                  <c:v>39.599999999999994</c:v>
                </c:pt>
                <c:pt idx="37">
                  <c:v>40.700000000000003</c:v>
                </c:pt>
                <c:pt idx="38">
                  <c:v>41.800000000000004</c:v>
                </c:pt>
                <c:pt idx="39">
                  <c:v>42.9</c:v>
                </c:pt>
                <c:pt idx="40">
                  <c:v>44.000000000000007</c:v>
                </c:pt>
                <c:pt idx="41">
                  <c:v>45.099999999999994</c:v>
                </c:pt>
                <c:pt idx="42">
                  <c:v>46.199999999999996</c:v>
                </c:pt>
                <c:pt idx="43">
                  <c:v>47.300000000000004</c:v>
                </c:pt>
                <c:pt idx="44">
                  <c:v>48.4</c:v>
                </c:pt>
                <c:pt idx="45">
                  <c:v>49.5</c:v>
                </c:pt>
                <c:pt idx="46">
                  <c:v>50.6</c:v>
                </c:pt>
                <c:pt idx="47">
                  <c:v>51.699999999999996</c:v>
                </c:pt>
                <c:pt idx="48">
                  <c:v>52.8</c:v>
                </c:pt>
                <c:pt idx="49">
                  <c:v>53.9</c:v>
                </c:pt>
                <c:pt idx="50">
                  <c:v>55</c:v>
                </c:pt>
                <c:pt idx="51">
                  <c:v>56.1</c:v>
                </c:pt>
                <c:pt idx="52">
                  <c:v>57.2</c:v>
                </c:pt>
                <c:pt idx="53">
                  <c:v>58.300000000000004</c:v>
                </c:pt>
                <c:pt idx="54">
                  <c:v>59.4</c:v>
                </c:pt>
                <c:pt idx="55">
                  <c:v>60.500000000000007</c:v>
                </c:pt>
                <c:pt idx="56">
                  <c:v>61.600000000000009</c:v>
                </c:pt>
                <c:pt idx="57">
                  <c:v>62.699999999999989</c:v>
                </c:pt>
                <c:pt idx="58">
                  <c:v>63.8</c:v>
                </c:pt>
                <c:pt idx="59">
                  <c:v>64.900000000000006</c:v>
                </c:pt>
                <c:pt idx="60">
                  <c:v>66</c:v>
                </c:pt>
                <c:pt idx="61">
                  <c:v>67.099999999999994</c:v>
                </c:pt>
                <c:pt idx="62">
                  <c:v>68.2</c:v>
                </c:pt>
                <c:pt idx="63">
                  <c:v>69.3</c:v>
                </c:pt>
                <c:pt idx="64">
                  <c:v>70.400000000000006</c:v>
                </c:pt>
                <c:pt idx="65">
                  <c:v>71.500000000000014</c:v>
                </c:pt>
                <c:pt idx="66">
                  <c:v>72.599999999999994</c:v>
                </c:pt>
                <c:pt idx="67">
                  <c:v>73.7</c:v>
                </c:pt>
                <c:pt idx="68">
                  <c:v>74.800000000000011</c:v>
                </c:pt>
                <c:pt idx="69">
                  <c:v>75.899999999999991</c:v>
                </c:pt>
                <c:pt idx="70">
                  <c:v>77</c:v>
                </c:pt>
                <c:pt idx="71">
                  <c:v>78.100000000000009</c:v>
                </c:pt>
                <c:pt idx="72">
                  <c:v>79.199999999999989</c:v>
                </c:pt>
                <c:pt idx="73">
                  <c:v>80.3</c:v>
                </c:pt>
                <c:pt idx="74">
                  <c:v>81.400000000000006</c:v>
                </c:pt>
                <c:pt idx="75">
                  <c:v>82.5</c:v>
                </c:pt>
                <c:pt idx="76">
                  <c:v>83.600000000000009</c:v>
                </c:pt>
                <c:pt idx="77">
                  <c:v>84.7</c:v>
                </c:pt>
                <c:pt idx="78">
                  <c:v>85.8</c:v>
                </c:pt>
                <c:pt idx="79">
                  <c:v>86.9</c:v>
                </c:pt>
                <c:pt idx="80">
                  <c:v>88.000000000000014</c:v>
                </c:pt>
                <c:pt idx="81">
                  <c:v>89.100000000000009</c:v>
                </c:pt>
                <c:pt idx="82">
                  <c:v>90.199999999999989</c:v>
                </c:pt>
                <c:pt idx="83">
                  <c:v>91.3</c:v>
                </c:pt>
                <c:pt idx="84">
                  <c:v>92.399999999999991</c:v>
                </c:pt>
                <c:pt idx="85">
                  <c:v>93.5</c:v>
                </c:pt>
                <c:pt idx="86">
                  <c:v>94.600000000000009</c:v>
                </c:pt>
                <c:pt idx="87">
                  <c:v>95.699999999999989</c:v>
                </c:pt>
                <c:pt idx="88">
                  <c:v>96.8</c:v>
                </c:pt>
                <c:pt idx="89">
                  <c:v>97.9</c:v>
                </c:pt>
                <c:pt idx="90">
                  <c:v>99</c:v>
                </c:pt>
                <c:pt idx="91">
                  <c:v>100.10000000000001</c:v>
                </c:pt>
                <c:pt idx="92">
                  <c:v>101.2</c:v>
                </c:pt>
                <c:pt idx="93">
                  <c:v>102.3</c:v>
                </c:pt>
                <c:pt idx="94">
                  <c:v>103.39999999999999</c:v>
                </c:pt>
                <c:pt idx="95">
                  <c:v>104.5</c:v>
                </c:pt>
                <c:pt idx="96">
                  <c:v>105.6</c:v>
                </c:pt>
                <c:pt idx="97">
                  <c:v>106.7</c:v>
                </c:pt>
                <c:pt idx="98">
                  <c:v>107.8</c:v>
                </c:pt>
                <c:pt idx="99">
                  <c:v>108.89999999999999</c:v>
                </c:pt>
                <c:pt idx="100">
                  <c:v>110</c:v>
                </c:pt>
              </c:numCache>
            </c:numRef>
          </c:cat>
          <c:val>
            <c:numRef>
              <c:f>'Calculations - Single'!$AN$216:$AN$316</c:f>
              <c:numCache>
                <c:formatCode>0.0</c:formatCode>
                <c:ptCount val="101"/>
                <c:pt idx="0">
                  <c:v>10</c:v>
                </c:pt>
                <c:pt idx="1">
                  <c:v>13.497103245882565</c:v>
                </c:pt>
                <c:pt idx="2">
                  <c:v>26.99420649176513</c:v>
                </c:pt>
                <c:pt idx="3">
                  <c:v>40.491309737647697</c:v>
                </c:pt>
                <c:pt idx="4">
                  <c:v>53.98841298353026</c:v>
                </c:pt>
                <c:pt idx="5">
                  <c:v>67.485516229412823</c:v>
                </c:pt>
                <c:pt idx="6">
                  <c:v>80.982619475295394</c:v>
                </c:pt>
                <c:pt idx="7">
                  <c:v>94.479722721177964</c:v>
                </c:pt>
                <c:pt idx="8">
                  <c:v>107.97682596706052</c:v>
                </c:pt>
                <c:pt idx="9">
                  <c:v>121.47392921294306</c:v>
                </c:pt>
                <c:pt idx="10">
                  <c:v>134.97103245882565</c:v>
                </c:pt>
                <c:pt idx="11">
                  <c:v>148.4681357047082</c:v>
                </c:pt>
                <c:pt idx="12">
                  <c:v>161.96523895059079</c:v>
                </c:pt>
                <c:pt idx="13">
                  <c:v>175.46234219647332</c:v>
                </c:pt>
                <c:pt idx="14">
                  <c:v>188.95944544235593</c:v>
                </c:pt>
                <c:pt idx="15">
                  <c:v>202.45654868823846</c:v>
                </c:pt>
                <c:pt idx="16">
                  <c:v>215.95365193412104</c:v>
                </c:pt>
                <c:pt idx="17">
                  <c:v>229.45075518000363</c:v>
                </c:pt>
                <c:pt idx="18">
                  <c:v>242.94785842588612</c:v>
                </c:pt>
                <c:pt idx="19">
                  <c:v>256.44496167176874</c:v>
                </c:pt>
                <c:pt idx="20">
                  <c:v>269.94206491765129</c:v>
                </c:pt>
                <c:pt idx="21">
                  <c:v>283.43916816353385</c:v>
                </c:pt>
                <c:pt idx="22">
                  <c:v>296.93627140941641</c:v>
                </c:pt>
                <c:pt idx="23">
                  <c:v>310.43337465529896</c:v>
                </c:pt>
                <c:pt idx="24">
                  <c:v>323.93047790118158</c:v>
                </c:pt>
                <c:pt idx="25">
                  <c:v>337.42758114706413</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349.77652039816189</c:v>
                </c:pt>
                <c:pt idx="95">
                  <c:v>346.09466228870758</c:v>
                </c:pt>
                <c:pt idx="96">
                  <c:v>342.48950955653356</c:v>
                </c:pt>
                <c:pt idx="97">
                  <c:v>338.95868987038364</c:v>
                </c:pt>
                <c:pt idx="98">
                  <c:v>335.49992772884912</c:v>
                </c:pt>
                <c:pt idx="99">
                  <c:v>332.11103956997181</c:v>
                </c:pt>
                <c:pt idx="100">
                  <c:v>328.78992917427212</c:v>
                </c:pt>
              </c:numCache>
            </c:numRef>
          </c:val>
          <c:smooth val="0"/>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1.1000000000000001</c:v>
                </c:pt>
                <c:pt idx="2">
                  <c:v>2.2000000000000002</c:v>
                </c:pt>
                <c:pt idx="3">
                  <c:v>3.3</c:v>
                </c:pt>
                <c:pt idx="4">
                  <c:v>4.4000000000000004</c:v>
                </c:pt>
                <c:pt idx="5">
                  <c:v>5.5000000000000009</c:v>
                </c:pt>
                <c:pt idx="6">
                  <c:v>6.6</c:v>
                </c:pt>
                <c:pt idx="7">
                  <c:v>7.7000000000000011</c:v>
                </c:pt>
                <c:pt idx="8">
                  <c:v>8.8000000000000007</c:v>
                </c:pt>
                <c:pt idx="9">
                  <c:v>9.8999999999999986</c:v>
                </c:pt>
                <c:pt idx="10">
                  <c:v>11.000000000000002</c:v>
                </c:pt>
                <c:pt idx="11">
                  <c:v>12.1</c:v>
                </c:pt>
                <c:pt idx="12">
                  <c:v>13.2</c:v>
                </c:pt>
                <c:pt idx="13">
                  <c:v>14.3</c:v>
                </c:pt>
                <c:pt idx="14">
                  <c:v>15.400000000000002</c:v>
                </c:pt>
                <c:pt idx="15">
                  <c:v>16.5</c:v>
                </c:pt>
                <c:pt idx="16">
                  <c:v>17.600000000000001</c:v>
                </c:pt>
                <c:pt idx="17">
                  <c:v>18.700000000000003</c:v>
                </c:pt>
                <c:pt idx="18">
                  <c:v>19.799999999999997</c:v>
                </c:pt>
                <c:pt idx="19">
                  <c:v>20.900000000000002</c:v>
                </c:pt>
                <c:pt idx="20">
                  <c:v>22.000000000000004</c:v>
                </c:pt>
                <c:pt idx="21">
                  <c:v>23.099999999999998</c:v>
                </c:pt>
                <c:pt idx="22">
                  <c:v>24.2</c:v>
                </c:pt>
                <c:pt idx="23">
                  <c:v>25.3</c:v>
                </c:pt>
                <c:pt idx="24">
                  <c:v>26.4</c:v>
                </c:pt>
                <c:pt idx="25">
                  <c:v>27.5</c:v>
                </c:pt>
                <c:pt idx="26">
                  <c:v>28.6</c:v>
                </c:pt>
                <c:pt idx="27">
                  <c:v>29.7</c:v>
                </c:pt>
                <c:pt idx="28">
                  <c:v>30.800000000000004</c:v>
                </c:pt>
                <c:pt idx="29">
                  <c:v>31.9</c:v>
                </c:pt>
                <c:pt idx="30">
                  <c:v>33</c:v>
                </c:pt>
                <c:pt idx="31">
                  <c:v>34.1</c:v>
                </c:pt>
                <c:pt idx="32">
                  <c:v>35.200000000000003</c:v>
                </c:pt>
                <c:pt idx="33">
                  <c:v>36.299999999999997</c:v>
                </c:pt>
                <c:pt idx="34">
                  <c:v>37.400000000000006</c:v>
                </c:pt>
                <c:pt idx="35">
                  <c:v>38.5</c:v>
                </c:pt>
                <c:pt idx="36">
                  <c:v>39.599999999999994</c:v>
                </c:pt>
                <c:pt idx="37">
                  <c:v>40.700000000000003</c:v>
                </c:pt>
                <c:pt idx="38">
                  <c:v>41.800000000000004</c:v>
                </c:pt>
                <c:pt idx="39">
                  <c:v>42.9</c:v>
                </c:pt>
                <c:pt idx="40">
                  <c:v>44.000000000000007</c:v>
                </c:pt>
                <c:pt idx="41">
                  <c:v>45.099999999999994</c:v>
                </c:pt>
                <c:pt idx="42">
                  <c:v>46.199999999999996</c:v>
                </c:pt>
                <c:pt idx="43">
                  <c:v>47.300000000000004</c:v>
                </c:pt>
                <c:pt idx="44">
                  <c:v>48.4</c:v>
                </c:pt>
                <c:pt idx="45">
                  <c:v>49.5</c:v>
                </c:pt>
                <c:pt idx="46">
                  <c:v>50.6</c:v>
                </c:pt>
                <c:pt idx="47">
                  <c:v>51.699999999999996</c:v>
                </c:pt>
                <c:pt idx="48">
                  <c:v>52.8</c:v>
                </c:pt>
                <c:pt idx="49">
                  <c:v>53.9</c:v>
                </c:pt>
                <c:pt idx="50">
                  <c:v>55</c:v>
                </c:pt>
                <c:pt idx="51">
                  <c:v>56.1</c:v>
                </c:pt>
                <c:pt idx="52">
                  <c:v>57.2</c:v>
                </c:pt>
                <c:pt idx="53">
                  <c:v>58.300000000000004</c:v>
                </c:pt>
                <c:pt idx="54">
                  <c:v>59.4</c:v>
                </c:pt>
                <c:pt idx="55">
                  <c:v>60.500000000000007</c:v>
                </c:pt>
                <c:pt idx="56">
                  <c:v>61.600000000000009</c:v>
                </c:pt>
                <c:pt idx="57">
                  <c:v>62.699999999999989</c:v>
                </c:pt>
                <c:pt idx="58">
                  <c:v>63.8</c:v>
                </c:pt>
                <c:pt idx="59">
                  <c:v>64.900000000000006</c:v>
                </c:pt>
                <c:pt idx="60">
                  <c:v>66</c:v>
                </c:pt>
                <c:pt idx="61">
                  <c:v>67.099999999999994</c:v>
                </c:pt>
                <c:pt idx="62">
                  <c:v>68.2</c:v>
                </c:pt>
                <c:pt idx="63">
                  <c:v>69.3</c:v>
                </c:pt>
                <c:pt idx="64">
                  <c:v>70.400000000000006</c:v>
                </c:pt>
                <c:pt idx="65">
                  <c:v>71.500000000000014</c:v>
                </c:pt>
                <c:pt idx="66">
                  <c:v>72.599999999999994</c:v>
                </c:pt>
                <c:pt idx="67">
                  <c:v>73.7</c:v>
                </c:pt>
                <c:pt idx="68">
                  <c:v>74.800000000000011</c:v>
                </c:pt>
                <c:pt idx="69">
                  <c:v>75.899999999999991</c:v>
                </c:pt>
                <c:pt idx="70">
                  <c:v>77</c:v>
                </c:pt>
                <c:pt idx="71">
                  <c:v>78.100000000000009</c:v>
                </c:pt>
                <c:pt idx="72">
                  <c:v>79.199999999999989</c:v>
                </c:pt>
                <c:pt idx="73">
                  <c:v>80.3</c:v>
                </c:pt>
                <c:pt idx="74">
                  <c:v>81.400000000000006</c:v>
                </c:pt>
                <c:pt idx="75">
                  <c:v>82.5</c:v>
                </c:pt>
                <c:pt idx="76">
                  <c:v>83.600000000000009</c:v>
                </c:pt>
                <c:pt idx="77">
                  <c:v>84.7</c:v>
                </c:pt>
                <c:pt idx="78">
                  <c:v>85.8</c:v>
                </c:pt>
                <c:pt idx="79">
                  <c:v>86.9</c:v>
                </c:pt>
                <c:pt idx="80">
                  <c:v>88.000000000000014</c:v>
                </c:pt>
                <c:pt idx="81">
                  <c:v>89.100000000000009</c:v>
                </c:pt>
                <c:pt idx="82">
                  <c:v>90.199999999999989</c:v>
                </c:pt>
                <c:pt idx="83">
                  <c:v>91.3</c:v>
                </c:pt>
                <c:pt idx="84">
                  <c:v>92.399999999999991</c:v>
                </c:pt>
                <c:pt idx="85">
                  <c:v>93.5</c:v>
                </c:pt>
                <c:pt idx="86">
                  <c:v>94.600000000000009</c:v>
                </c:pt>
                <c:pt idx="87">
                  <c:v>95.699999999999989</c:v>
                </c:pt>
                <c:pt idx="88">
                  <c:v>96.8</c:v>
                </c:pt>
                <c:pt idx="89">
                  <c:v>97.9</c:v>
                </c:pt>
                <c:pt idx="90">
                  <c:v>99</c:v>
                </c:pt>
                <c:pt idx="91">
                  <c:v>100.10000000000001</c:v>
                </c:pt>
                <c:pt idx="92">
                  <c:v>101.2</c:v>
                </c:pt>
                <c:pt idx="93">
                  <c:v>102.3</c:v>
                </c:pt>
                <c:pt idx="94">
                  <c:v>103.39999999999999</c:v>
                </c:pt>
                <c:pt idx="95">
                  <c:v>104.5</c:v>
                </c:pt>
                <c:pt idx="96">
                  <c:v>105.6</c:v>
                </c:pt>
                <c:pt idx="97">
                  <c:v>106.7</c:v>
                </c:pt>
                <c:pt idx="98">
                  <c:v>107.8</c:v>
                </c:pt>
                <c:pt idx="99">
                  <c:v>108.89999999999999</c:v>
                </c:pt>
                <c:pt idx="100">
                  <c:v>110</c:v>
                </c:pt>
              </c:numCache>
            </c:numRef>
          </c:cat>
          <c:val>
            <c:numRef>
              <c:f>'Calculations - Single'!$CD$110:$CD$210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4"/>
          <c:order val="4"/>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1.1000000000000001</c:v>
                </c:pt>
                <c:pt idx="2">
                  <c:v>2.2000000000000002</c:v>
                </c:pt>
                <c:pt idx="3">
                  <c:v>3.3</c:v>
                </c:pt>
                <c:pt idx="4">
                  <c:v>4.4000000000000004</c:v>
                </c:pt>
                <c:pt idx="5">
                  <c:v>5.5000000000000009</c:v>
                </c:pt>
                <c:pt idx="6">
                  <c:v>6.6</c:v>
                </c:pt>
                <c:pt idx="7">
                  <c:v>7.7000000000000011</c:v>
                </c:pt>
                <c:pt idx="8">
                  <c:v>8.8000000000000007</c:v>
                </c:pt>
                <c:pt idx="9">
                  <c:v>9.8999999999999986</c:v>
                </c:pt>
                <c:pt idx="10">
                  <c:v>11.000000000000002</c:v>
                </c:pt>
                <c:pt idx="11">
                  <c:v>12.1</c:v>
                </c:pt>
                <c:pt idx="12">
                  <c:v>13.2</c:v>
                </c:pt>
                <c:pt idx="13">
                  <c:v>14.3</c:v>
                </c:pt>
                <c:pt idx="14">
                  <c:v>15.400000000000002</c:v>
                </c:pt>
                <c:pt idx="15">
                  <c:v>16.5</c:v>
                </c:pt>
                <c:pt idx="16">
                  <c:v>17.600000000000001</c:v>
                </c:pt>
                <c:pt idx="17">
                  <c:v>18.700000000000003</c:v>
                </c:pt>
                <c:pt idx="18">
                  <c:v>19.799999999999997</c:v>
                </c:pt>
                <c:pt idx="19">
                  <c:v>20.900000000000002</c:v>
                </c:pt>
                <c:pt idx="20">
                  <c:v>22.000000000000004</c:v>
                </c:pt>
                <c:pt idx="21">
                  <c:v>23.099999999999998</c:v>
                </c:pt>
                <c:pt idx="22">
                  <c:v>24.2</c:v>
                </c:pt>
                <c:pt idx="23">
                  <c:v>25.3</c:v>
                </c:pt>
                <c:pt idx="24">
                  <c:v>26.4</c:v>
                </c:pt>
                <c:pt idx="25">
                  <c:v>27.5</c:v>
                </c:pt>
                <c:pt idx="26">
                  <c:v>28.6</c:v>
                </c:pt>
                <c:pt idx="27">
                  <c:v>29.7</c:v>
                </c:pt>
                <c:pt idx="28">
                  <c:v>30.800000000000004</c:v>
                </c:pt>
                <c:pt idx="29">
                  <c:v>31.9</c:v>
                </c:pt>
                <c:pt idx="30">
                  <c:v>33</c:v>
                </c:pt>
                <c:pt idx="31">
                  <c:v>34.1</c:v>
                </c:pt>
                <c:pt idx="32">
                  <c:v>35.200000000000003</c:v>
                </c:pt>
                <c:pt idx="33">
                  <c:v>36.299999999999997</c:v>
                </c:pt>
                <c:pt idx="34">
                  <c:v>37.400000000000006</c:v>
                </c:pt>
                <c:pt idx="35">
                  <c:v>38.5</c:v>
                </c:pt>
                <c:pt idx="36">
                  <c:v>39.599999999999994</c:v>
                </c:pt>
                <c:pt idx="37">
                  <c:v>40.700000000000003</c:v>
                </c:pt>
                <c:pt idx="38">
                  <c:v>41.800000000000004</c:v>
                </c:pt>
                <c:pt idx="39">
                  <c:v>42.9</c:v>
                </c:pt>
                <c:pt idx="40">
                  <c:v>44.000000000000007</c:v>
                </c:pt>
                <c:pt idx="41">
                  <c:v>45.099999999999994</c:v>
                </c:pt>
                <c:pt idx="42">
                  <c:v>46.199999999999996</c:v>
                </c:pt>
                <c:pt idx="43">
                  <c:v>47.300000000000004</c:v>
                </c:pt>
                <c:pt idx="44">
                  <c:v>48.4</c:v>
                </c:pt>
                <c:pt idx="45">
                  <c:v>49.5</c:v>
                </c:pt>
                <c:pt idx="46">
                  <c:v>50.6</c:v>
                </c:pt>
                <c:pt idx="47">
                  <c:v>51.699999999999996</c:v>
                </c:pt>
                <c:pt idx="48">
                  <c:v>52.8</c:v>
                </c:pt>
                <c:pt idx="49">
                  <c:v>53.9</c:v>
                </c:pt>
                <c:pt idx="50">
                  <c:v>55</c:v>
                </c:pt>
                <c:pt idx="51">
                  <c:v>56.1</c:v>
                </c:pt>
                <c:pt idx="52">
                  <c:v>57.2</c:v>
                </c:pt>
                <c:pt idx="53">
                  <c:v>58.300000000000004</c:v>
                </c:pt>
                <c:pt idx="54">
                  <c:v>59.4</c:v>
                </c:pt>
                <c:pt idx="55">
                  <c:v>60.500000000000007</c:v>
                </c:pt>
                <c:pt idx="56">
                  <c:v>61.600000000000009</c:v>
                </c:pt>
                <c:pt idx="57">
                  <c:v>62.699999999999989</c:v>
                </c:pt>
                <c:pt idx="58">
                  <c:v>63.8</c:v>
                </c:pt>
                <c:pt idx="59">
                  <c:v>64.900000000000006</c:v>
                </c:pt>
                <c:pt idx="60">
                  <c:v>66</c:v>
                </c:pt>
                <c:pt idx="61">
                  <c:v>67.099999999999994</c:v>
                </c:pt>
                <c:pt idx="62">
                  <c:v>68.2</c:v>
                </c:pt>
                <c:pt idx="63">
                  <c:v>69.3</c:v>
                </c:pt>
                <c:pt idx="64">
                  <c:v>70.400000000000006</c:v>
                </c:pt>
                <c:pt idx="65">
                  <c:v>71.500000000000014</c:v>
                </c:pt>
                <c:pt idx="66">
                  <c:v>72.599999999999994</c:v>
                </c:pt>
                <c:pt idx="67">
                  <c:v>73.7</c:v>
                </c:pt>
                <c:pt idx="68">
                  <c:v>74.800000000000011</c:v>
                </c:pt>
                <c:pt idx="69">
                  <c:v>75.899999999999991</c:v>
                </c:pt>
                <c:pt idx="70">
                  <c:v>77</c:v>
                </c:pt>
                <c:pt idx="71">
                  <c:v>78.100000000000009</c:v>
                </c:pt>
                <c:pt idx="72">
                  <c:v>79.199999999999989</c:v>
                </c:pt>
                <c:pt idx="73">
                  <c:v>80.3</c:v>
                </c:pt>
                <c:pt idx="74">
                  <c:v>81.400000000000006</c:v>
                </c:pt>
                <c:pt idx="75">
                  <c:v>82.5</c:v>
                </c:pt>
                <c:pt idx="76">
                  <c:v>83.600000000000009</c:v>
                </c:pt>
                <c:pt idx="77">
                  <c:v>84.7</c:v>
                </c:pt>
                <c:pt idx="78">
                  <c:v>85.8</c:v>
                </c:pt>
                <c:pt idx="79">
                  <c:v>86.9</c:v>
                </c:pt>
                <c:pt idx="80">
                  <c:v>88.000000000000014</c:v>
                </c:pt>
                <c:pt idx="81">
                  <c:v>89.100000000000009</c:v>
                </c:pt>
                <c:pt idx="82">
                  <c:v>90.199999999999989</c:v>
                </c:pt>
                <c:pt idx="83">
                  <c:v>91.3</c:v>
                </c:pt>
                <c:pt idx="84">
                  <c:v>92.399999999999991</c:v>
                </c:pt>
                <c:pt idx="85">
                  <c:v>93.5</c:v>
                </c:pt>
                <c:pt idx="86">
                  <c:v>94.600000000000009</c:v>
                </c:pt>
                <c:pt idx="87">
                  <c:v>95.699999999999989</c:v>
                </c:pt>
                <c:pt idx="88">
                  <c:v>96.8</c:v>
                </c:pt>
                <c:pt idx="89">
                  <c:v>97.9</c:v>
                </c:pt>
                <c:pt idx="90">
                  <c:v>99</c:v>
                </c:pt>
                <c:pt idx="91">
                  <c:v>100.10000000000001</c:v>
                </c:pt>
                <c:pt idx="92">
                  <c:v>101.2</c:v>
                </c:pt>
                <c:pt idx="93">
                  <c:v>102.3</c:v>
                </c:pt>
                <c:pt idx="94">
                  <c:v>103.39999999999999</c:v>
                </c:pt>
                <c:pt idx="95">
                  <c:v>104.5</c:v>
                </c:pt>
                <c:pt idx="96">
                  <c:v>105.6</c:v>
                </c:pt>
                <c:pt idx="97">
                  <c:v>106.7</c:v>
                </c:pt>
                <c:pt idx="98">
                  <c:v>107.8</c:v>
                </c:pt>
                <c:pt idx="99">
                  <c:v>108.89999999999999</c:v>
                </c:pt>
                <c:pt idx="100">
                  <c:v>110</c:v>
                </c:pt>
              </c:numCache>
            </c:numRef>
          </c:cat>
          <c:val>
            <c:numRef>
              <c:f>'Calculations - Single'!$CD$5:$CD$105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1.1000000000000001</c:v>
                </c:pt>
                <c:pt idx="2">
                  <c:v>2.2000000000000002</c:v>
                </c:pt>
                <c:pt idx="3">
                  <c:v>3.3</c:v>
                </c:pt>
                <c:pt idx="4">
                  <c:v>4.4000000000000004</c:v>
                </c:pt>
                <c:pt idx="5">
                  <c:v>5.5000000000000009</c:v>
                </c:pt>
                <c:pt idx="6">
                  <c:v>6.6</c:v>
                </c:pt>
                <c:pt idx="7">
                  <c:v>7.7000000000000011</c:v>
                </c:pt>
                <c:pt idx="8">
                  <c:v>8.8000000000000007</c:v>
                </c:pt>
                <c:pt idx="9">
                  <c:v>9.8999999999999986</c:v>
                </c:pt>
                <c:pt idx="10">
                  <c:v>11.000000000000002</c:v>
                </c:pt>
                <c:pt idx="11">
                  <c:v>12.1</c:v>
                </c:pt>
                <c:pt idx="12">
                  <c:v>13.2</c:v>
                </c:pt>
                <c:pt idx="13">
                  <c:v>14.3</c:v>
                </c:pt>
                <c:pt idx="14">
                  <c:v>15.400000000000002</c:v>
                </c:pt>
                <c:pt idx="15">
                  <c:v>16.5</c:v>
                </c:pt>
                <c:pt idx="16">
                  <c:v>17.600000000000001</c:v>
                </c:pt>
                <c:pt idx="17">
                  <c:v>18.700000000000003</c:v>
                </c:pt>
                <c:pt idx="18">
                  <c:v>19.799999999999997</c:v>
                </c:pt>
                <c:pt idx="19">
                  <c:v>20.900000000000002</c:v>
                </c:pt>
                <c:pt idx="20">
                  <c:v>22.000000000000004</c:v>
                </c:pt>
                <c:pt idx="21">
                  <c:v>23.099999999999998</c:v>
                </c:pt>
                <c:pt idx="22">
                  <c:v>24.2</c:v>
                </c:pt>
                <c:pt idx="23">
                  <c:v>25.3</c:v>
                </c:pt>
                <c:pt idx="24">
                  <c:v>26.4</c:v>
                </c:pt>
                <c:pt idx="25">
                  <c:v>27.5</c:v>
                </c:pt>
                <c:pt idx="26">
                  <c:v>28.6</c:v>
                </c:pt>
                <c:pt idx="27">
                  <c:v>29.7</c:v>
                </c:pt>
                <c:pt idx="28">
                  <c:v>30.800000000000004</c:v>
                </c:pt>
                <c:pt idx="29">
                  <c:v>31.9</c:v>
                </c:pt>
                <c:pt idx="30">
                  <c:v>33</c:v>
                </c:pt>
                <c:pt idx="31">
                  <c:v>34.1</c:v>
                </c:pt>
                <c:pt idx="32">
                  <c:v>35.200000000000003</c:v>
                </c:pt>
                <c:pt idx="33">
                  <c:v>36.299999999999997</c:v>
                </c:pt>
                <c:pt idx="34">
                  <c:v>37.400000000000006</c:v>
                </c:pt>
                <c:pt idx="35">
                  <c:v>38.5</c:v>
                </c:pt>
                <c:pt idx="36">
                  <c:v>39.599999999999994</c:v>
                </c:pt>
                <c:pt idx="37">
                  <c:v>40.700000000000003</c:v>
                </c:pt>
                <c:pt idx="38">
                  <c:v>41.800000000000004</c:v>
                </c:pt>
                <c:pt idx="39">
                  <c:v>42.9</c:v>
                </c:pt>
                <c:pt idx="40">
                  <c:v>44.000000000000007</c:v>
                </c:pt>
                <c:pt idx="41">
                  <c:v>45.099999999999994</c:v>
                </c:pt>
                <c:pt idx="42">
                  <c:v>46.199999999999996</c:v>
                </c:pt>
                <c:pt idx="43">
                  <c:v>47.300000000000004</c:v>
                </c:pt>
                <c:pt idx="44">
                  <c:v>48.4</c:v>
                </c:pt>
                <c:pt idx="45">
                  <c:v>49.5</c:v>
                </c:pt>
                <c:pt idx="46">
                  <c:v>50.6</c:v>
                </c:pt>
                <c:pt idx="47">
                  <c:v>51.699999999999996</c:v>
                </c:pt>
                <c:pt idx="48">
                  <c:v>52.8</c:v>
                </c:pt>
                <c:pt idx="49">
                  <c:v>53.9</c:v>
                </c:pt>
                <c:pt idx="50">
                  <c:v>55</c:v>
                </c:pt>
                <c:pt idx="51">
                  <c:v>56.1</c:v>
                </c:pt>
                <c:pt idx="52">
                  <c:v>57.2</c:v>
                </c:pt>
                <c:pt idx="53">
                  <c:v>58.300000000000004</c:v>
                </c:pt>
                <c:pt idx="54">
                  <c:v>59.4</c:v>
                </c:pt>
                <c:pt idx="55">
                  <c:v>60.500000000000007</c:v>
                </c:pt>
                <c:pt idx="56">
                  <c:v>61.600000000000009</c:v>
                </c:pt>
                <c:pt idx="57">
                  <c:v>62.699999999999989</c:v>
                </c:pt>
                <c:pt idx="58">
                  <c:v>63.8</c:v>
                </c:pt>
                <c:pt idx="59">
                  <c:v>64.900000000000006</c:v>
                </c:pt>
                <c:pt idx="60">
                  <c:v>66</c:v>
                </c:pt>
                <c:pt idx="61">
                  <c:v>67.099999999999994</c:v>
                </c:pt>
                <c:pt idx="62">
                  <c:v>68.2</c:v>
                </c:pt>
                <c:pt idx="63">
                  <c:v>69.3</c:v>
                </c:pt>
                <c:pt idx="64">
                  <c:v>70.400000000000006</c:v>
                </c:pt>
                <c:pt idx="65">
                  <c:v>71.500000000000014</c:v>
                </c:pt>
                <c:pt idx="66">
                  <c:v>72.599999999999994</c:v>
                </c:pt>
                <c:pt idx="67">
                  <c:v>73.7</c:v>
                </c:pt>
                <c:pt idx="68">
                  <c:v>74.800000000000011</c:v>
                </c:pt>
                <c:pt idx="69">
                  <c:v>75.899999999999991</c:v>
                </c:pt>
                <c:pt idx="70">
                  <c:v>77</c:v>
                </c:pt>
                <c:pt idx="71">
                  <c:v>78.100000000000009</c:v>
                </c:pt>
                <c:pt idx="72">
                  <c:v>79.199999999999989</c:v>
                </c:pt>
                <c:pt idx="73">
                  <c:v>80.3</c:v>
                </c:pt>
                <c:pt idx="74">
                  <c:v>81.400000000000006</c:v>
                </c:pt>
                <c:pt idx="75">
                  <c:v>82.5</c:v>
                </c:pt>
                <c:pt idx="76">
                  <c:v>83.600000000000009</c:v>
                </c:pt>
                <c:pt idx="77">
                  <c:v>84.7</c:v>
                </c:pt>
                <c:pt idx="78">
                  <c:v>85.8</c:v>
                </c:pt>
                <c:pt idx="79">
                  <c:v>86.9</c:v>
                </c:pt>
                <c:pt idx="80">
                  <c:v>88.000000000000014</c:v>
                </c:pt>
                <c:pt idx="81">
                  <c:v>89.100000000000009</c:v>
                </c:pt>
                <c:pt idx="82">
                  <c:v>90.199999999999989</c:v>
                </c:pt>
                <c:pt idx="83">
                  <c:v>91.3</c:v>
                </c:pt>
                <c:pt idx="84">
                  <c:v>92.399999999999991</c:v>
                </c:pt>
                <c:pt idx="85">
                  <c:v>93.5</c:v>
                </c:pt>
                <c:pt idx="86">
                  <c:v>94.600000000000009</c:v>
                </c:pt>
                <c:pt idx="87">
                  <c:v>95.699999999999989</c:v>
                </c:pt>
                <c:pt idx="88">
                  <c:v>96.8</c:v>
                </c:pt>
                <c:pt idx="89">
                  <c:v>97.9</c:v>
                </c:pt>
                <c:pt idx="90">
                  <c:v>99</c:v>
                </c:pt>
                <c:pt idx="91">
                  <c:v>100.10000000000001</c:v>
                </c:pt>
                <c:pt idx="92">
                  <c:v>101.2</c:v>
                </c:pt>
                <c:pt idx="93">
                  <c:v>102.3</c:v>
                </c:pt>
                <c:pt idx="94">
                  <c:v>103.39999999999999</c:v>
                </c:pt>
                <c:pt idx="95">
                  <c:v>104.5</c:v>
                </c:pt>
                <c:pt idx="96">
                  <c:v>105.6</c:v>
                </c:pt>
                <c:pt idx="97">
                  <c:v>106.7</c:v>
                </c:pt>
                <c:pt idx="98">
                  <c:v>107.8</c:v>
                </c:pt>
                <c:pt idx="99">
                  <c:v>108.89999999999999</c:v>
                </c:pt>
                <c:pt idx="100">
                  <c:v>110</c:v>
                </c:pt>
              </c:numCache>
            </c:numRef>
          </c:cat>
          <c:val>
            <c:numRef>
              <c:f>'Calculations - Single'!$CD$216:$CD$316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dLbls>
          <c:showLegendKey val="0"/>
          <c:showVal val="0"/>
          <c:showCatName val="0"/>
          <c:showSerName val="0"/>
          <c:showPercent val="0"/>
          <c:showBubbleSize val="0"/>
        </c:dLbls>
        <c:marker val="1"/>
        <c:smooth val="0"/>
        <c:axId val="202100736"/>
        <c:axId val="202103040"/>
      </c:lineChart>
      <c:catAx>
        <c:axId val="202100736"/>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202103040"/>
        <c:crosses val="autoZero"/>
        <c:auto val="1"/>
        <c:lblAlgn val="ctr"/>
        <c:lblOffset val="100"/>
        <c:tickLblSkip val="20"/>
        <c:tickMarkSkip val="10"/>
        <c:noMultiLvlLbl val="0"/>
      </c:catAx>
      <c:valAx>
        <c:axId val="202103040"/>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202100736"/>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0119952469789996"/>
          <c:y val="2.20093690871901E-2"/>
          <c:w val="0.4533572736110989"/>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19.000000000000004</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38.000000000000007</c:v>
                </c:pt>
                <c:pt idx="39">
                  <c:v>39</c:v>
                </c:pt>
                <c:pt idx="40">
                  <c:v>40</c:v>
                </c:pt>
                <c:pt idx="41">
                  <c:v>40.999999999999993</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71.000000000000014</c:v>
                </c:pt>
                <c:pt idx="72">
                  <c:v>72</c:v>
                </c:pt>
                <c:pt idx="73">
                  <c:v>73</c:v>
                </c:pt>
                <c:pt idx="74">
                  <c:v>74</c:v>
                </c:pt>
                <c:pt idx="75">
                  <c:v>75</c:v>
                </c:pt>
                <c:pt idx="76">
                  <c:v>76.000000000000014</c:v>
                </c:pt>
                <c:pt idx="77">
                  <c:v>77</c:v>
                </c:pt>
                <c:pt idx="78">
                  <c:v>78</c:v>
                </c:pt>
                <c:pt idx="79">
                  <c:v>79</c:v>
                </c:pt>
                <c:pt idx="80">
                  <c:v>80</c:v>
                </c:pt>
                <c:pt idx="81">
                  <c:v>81.000000000000014</c:v>
                </c:pt>
                <c:pt idx="82">
                  <c:v>81.999999999999986</c:v>
                </c:pt>
                <c:pt idx="83">
                  <c:v>83</c:v>
                </c:pt>
                <c:pt idx="84">
                  <c:v>84</c:v>
                </c:pt>
                <c:pt idx="85">
                  <c:v>85</c:v>
                </c:pt>
                <c:pt idx="86">
                  <c:v>86</c:v>
                </c:pt>
                <c:pt idx="87">
                  <c:v>86.999999999999986</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13.497103245882563</c:v>
                </c:pt>
                <c:pt idx="2">
                  <c:v>26.994206491765127</c:v>
                </c:pt>
                <c:pt idx="3">
                  <c:v>40.491309737647697</c:v>
                </c:pt>
                <c:pt idx="4">
                  <c:v>53.988412983530253</c:v>
                </c:pt>
                <c:pt idx="5">
                  <c:v>67.485516229412823</c:v>
                </c:pt>
                <c:pt idx="6">
                  <c:v>80.982619475295394</c:v>
                </c:pt>
                <c:pt idx="7">
                  <c:v>94.479722721177964</c:v>
                </c:pt>
                <c:pt idx="8">
                  <c:v>107.97682596706051</c:v>
                </c:pt>
                <c:pt idx="9">
                  <c:v>121.47392921294306</c:v>
                </c:pt>
                <c:pt idx="10">
                  <c:v>134.97103245882565</c:v>
                </c:pt>
                <c:pt idx="11">
                  <c:v>148.4681357047082</c:v>
                </c:pt>
                <c:pt idx="12">
                  <c:v>161.96523895059079</c:v>
                </c:pt>
                <c:pt idx="13">
                  <c:v>175.46234219647332</c:v>
                </c:pt>
                <c:pt idx="14">
                  <c:v>188.95944544235593</c:v>
                </c:pt>
                <c:pt idx="15">
                  <c:v>202.45654868823843</c:v>
                </c:pt>
                <c:pt idx="16">
                  <c:v>215.95365193412101</c:v>
                </c:pt>
                <c:pt idx="17">
                  <c:v>229.45075518000363</c:v>
                </c:pt>
                <c:pt idx="18">
                  <c:v>242.94785842588612</c:v>
                </c:pt>
                <c:pt idx="19">
                  <c:v>256.44496167176874</c:v>
                </c:pt>
                <c:pt idx="20">
                  <c:v>269.94206491765129</c:v>
                </c:pt>
                <c:pt idx="21">
                  <c:v>283.43916816353385</c:v>
                </c:pt>
                <c:pt idx="22">
                  <c:v>296.93627140941641</c:v>
                </c:pt>
                <c:pt idx="23">
                  <c:v>310.43337465529896</c:v>
                </c:pt>
                <c:pt idx="24">
                  <c:v>323.93047790118158</c:v>
                </c:pt>
                <c:pt idx="25">
                  <c:v>337.42758114706413</c:v>
                </c:pt>
                <c:pt idx="26">
                  <c:v>350</c:v>
                </c:pt>
                <c:pt idx="27">
                  <c:v>350</c:v>
                </c:pt>
                <c:pt idx="28">
                  <c:v>350</c:v>
                </c:pt>
                <c:pt idx="29">
                  <c:v>346.63271722205837</c:v>
                </c:pt>
                <c:pt idx="30">
                  <c:v>335.07829331465632</c:v>
                </c:pt>
                <c:pt idx="31">
                  <c:v>324.26931611095785</c:v>
                </c:pt>
                <c:pt idx="32">
                  <c:v>314.13589998249029</c:v>
                </c:pt>
                <c:pt idx="33">
                  <c:v>304.6166302860513</c:v>
                </c:pt>
                <c:pt idx="34">
                  <c:v>295.6573176305792</c:v>
                </c:pt>
                <c:pt idx="35">
                  <c:v>287.20996569827696</c:v>
                </c:pt>
                <c:pt idx="36">
                  <c:v>279.23191109554699</c:v>
                </c:pt>
                <c:pt idx="37">
                  <c:v>271.68510268755927</c:v>
                </c:pt>
                <c:pt idx="38">
                  <c:v>264.5354947220971</c:v>
                </c:pt>
                <c:pt idx="39">
                  <c:v>257.75253331896641</c:v>
                </c:pt>
                <c:pt idx="40">
                  <c:v>251.3087199859923</c:v>
                </c:pt>
                <c:pt idx="41">
                  <c:v>245.17923901072416</c:v>
                </c:pt>
                <c:pt idx="42">
                  <c:v>239.34163808189746</c:v>
                </c:pt>
                <c:pt idx="43">
                  <c:v>233.77555347534164</c:v>
                </c:pt>
                <c:pt idx="44">
                  <c:v>228.46247271453842</c:v>
                </c:pt>
                <c:pt idx="45">
                  <c:v>223.38552887643755</c:v>
                </c:pt>
                <c:pt idx="46">
                  <c:v>218.52932172694977</c:v>
                </c:pt>
                <c:pt idx="47">
                  <c:v>213.87976169020615</c:v>
                </c:pt>
                <c:pt idx="48">
                  <c:v>209.42393332166023</c:v>
                </c:pt>
                <c:pt idx="49">
                  <c:v>205.14997549876924</c:v>
                </c:pt>
                <c:pt idx="50">
                  <c:v>201.0469759887938</c:v>
                </c:pt>
                <c:pt idx="51">
                  <c:v>197.10487842038606</c:v>
                </c:pt>
                <c:pt idx="52">
                  <c:v>193.31439998922485</c:v>
                </c:pt>
                <c:pt idx="53">
                  <c:v>189.66695847999415</c:v>
                </c:pt>
                <c:pt idx="54">
                  <c:v>186.1546073970313</c:v>
                </c:pt>
                <c:pt idx="55">
                  <c:v>182.76997817163073</c:v>
                </c:pt>
                <c:pt idx="56">
                  <c:v>179.50622856142303</c:v>
                </c:pt>
                <c:pt idx="57">
                  <c:v>176.35699648139808</c:v>
                </c:pt>
                <c:pt idx="58">
                  <c:v>173.31635861102919</c:v>
                </c:pt>
                <c:pt idx="59">
                  <c:v>170.37879321084228</c:v>
                </c:pt>
                <c:pt idx="60">
                  <c:v>167.53914665732816</c:v>
                </c:pt>
                <c:pt idx="61">
                  <c:v>164.79260326950316</c:v>
                </c:pt>
                <c:pt idx="62">
                  <c:v>162.13465805547892</c:v>
                </c:pt>
                <c:pt idx="63">
                  <c:v>159.56109205459828</c:v>
                </c:pt>
                <c:pt idx="64">
                  <c:v>157.06794999124514</c:v>
                </c:pt>
                <c:pt idx="65">
                  <c:v>154.65151999137984</c:v>
                </c:pt>
                <c:pt idx="66">
                  <c:v>152.30831514302565</c:v>
                </c:pt>
                <c:pt idx="67">
                  <c:v>150.03505670805512</c:v>
                </c:pt>
                <c:pt idx="68">
                  <c:v>147.8286588152896</c:v>
                </c:pt>
                <c:pt idx="69">
                  <c:v>145.68621448463321</c:v>
                </c:pt>
                <c:pt idx="70">
                  <c:v>143.60498284913848</c:v>
                </c:pt>
                <c:pt idx="71">
                  <c:v>141.58237745689709</c:v>
                </c:pt>
                <c:pt idx="72">
                  <c:v>139.6159555477735</c:v>
                </c:pt>
                <c:pt idx="73">
                  <c:v>137.70340821150262</c:v>
                </c:pt>
                <c:pt idx="74">
                  <c:v>135.84255134377963</c:v>
                </c:pt>
                <c:pt idx="75">
                  <c:v>134.03131732586252</c:v>
                </c:pt>
                <c:pt idx="76">
                  <c:v>132.26774736104855</c:v>
                </c:pt>
                <c:pt idx="77">
                  <c:v>130.54998440830767</c:v>
                </c:pt>
                <c:pt idx="78">
                  <c:v>128.87626665948321</c:v>
                </c:pt>
                <c:pt idx="79">
                  <c:v>127.24492151189482</c:v>
                </c:pt>
                <c:pt idx="80">
                  <c:v>125.65435999299615</c:v>
                </c:pt>
                <c:pt idx="81">
                  <c:v>124.10307159802083</c:v>
                </c:pt>
                <c:pt idx="82">
                  <c:v>122.58961950536208</c:v>
                </c:pt>
                <c:pt idx="83">
                  <c:v>121.11263613782762</c:v>
                </c:pt>
                <c:pt idx="84">
                  <c:v>119.67081904094873</c:v>
                </c:pt>
                <c:pt idx="85">
                  <c:v>118.26292705223166</c:v>
                </c:pt>
                <c:pt idx="86">
                  <c:v>116.88777673767082</c:v>
                </c:pt>
                <c:pt idx="87">
                  <c:v>115.54423907401942</c:v>
                </c:pt>
                <c:pt idx="88">
                  <c:v>114.23123635726921</c:v>
                </c:pt>
                <c:pt idx="89">
                  <c:v>112.94773931954708</c:v>
                </c:pt>
                <c:pt idx="90">
                  <c:v>111.69276443821877</c:v>
                </c:pt>
                <c:pt idx="91">
                  <c:v>110.46537142241418</c:v>
                </c:pt>
                <c:pt idx="92">
                  <c:v>109.26466086347489</c:v>
                </c:pt>
                <c:pt idx="93">
                  <c:v>108.08977203698592</c:v>
                </c:pt>
                <c:pt idx="94">
                  <c:v>106.93988084510308</c:v>
                </c:pt>
                <c:pt idx="95">
                  <c:v>105.81419788883886</c:v>
                </c:pt>
                <c:pt idx="96">
                  <c:v>104.71196666083011</c:v>
                </c:pt>
                <c:pt idx="97">
                  <c:v>103.81741568073944</c:v>
                </c:pt>
                <c:pt idx="98">
                  <c:v>103.50856460941682</c:v>
                </c:pt>
                <c:pt idx="99">
                  <c:v>103.20161093218742</c:v>
                </c:pt>
                <c:pt idx="100">
                  <c:v>102.89653721793259</c:v>
                </c:pt>
              </c:numCache>
            </c:numRef>
          </c:val>
          <c:smooth val="0"/>
        </c:ser>
        <c:ser>
          <c:idx val="0"/>
          <c:order val="1"/>
          <c:tx>
            <c:v>VIN-nom</c:v>
          </c:tx>
          <c:spPr>
            <a:ln w="28575">
              <a:solidFill>
                <a:srgbClr val="FF0000"/>
              </a:solidFill>
              <a:prstDash val="lgDash"/>
            </a:ln>
          </c:spPr>
          <c:marker>
            <c:symbol val="none"/>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19.000000000000004</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38.000000000000007</c:v>
                </c:pt>
                <c:pt idx="39">
                  <c:v>39</c:v>
                </c:pt>
                <c:pt idx="40">
                  <c:v>40</c:v>
                </c:pt>
                <c:pt idx="41">
                  <c:v>40.999999999999993</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71.000000000000014</c:v>
                </c:pt>
                <c:pt idx="72">
                  <c:v>72</c:v>
                </c:pt>
                <c:pt idx="73">
                  <c:v>73</c:v>
                </c:pt>
                <c:pt idx="74">
                  <c:v>74</c:v>
                </c:pt>
                <c:pt idx="75">
                  <c:v>75</c:v>
                </c:pt>
                <c:pt idx="76">
                  <c:v>76.000000000000014</c:v>
                </c:pt>
                <c:pt idx="77">
                  <c:v>77</c:v>
                </c:pt>
                <c:pt idx="78">
                  <c:v>78</c:v>
                </c:pt>
                <c:pt idx="79">
                  <c:v>79</c:v>
                </c:pt>
                <c:pt idx="80">
                  <c:v>80</c:v>
                </c:pt>
                <c:pt idx="81">
                  <c:v>81.000000000000014</c:v>
                </c:pt>
                <c:pt idx="82">
                  <c:v>81.999999999999986</c:v>
                </c:pt>
                <c:pt idx="83">
                  <c:v>83</c:v>
                </c:pt>
                <c:pt idx="84">
                  <c:v>84</c:v>
                </c:pt>
                <c:pt idx="85">
                  <c:v>85</c:v>
                </c:pt>
                <c:pt idx="86">
                  <c:v>86</c:v>
                </c:pt>
                <c:pt idx="87">
                  <c:v>86.999999999999986</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13.497103245882563</c:v>
                </c:pt>
                <c:pt idx="2">
                  <c:v>26.994206491765127</c:v>
                </c:pt>
                <c:pt idx="3">
                  <c:v>40.491309737647697</c:v>
                </c:pt>
                <c:pt idx="4">
                  <c:v>53.988412983530253</c:v>
                </c:pt>
                <c:pt idx="5">
                  <c:v>67.485516229412823</c:v>
                </c:pt>
                <c:pt idx="6">
                  <c:v>80.982619475295394</c:v>
                </c:pt>
                <c:pt idx="7">
                  <c:v>94.479722721177964</c:v>
                </c:pt>
                <c:pt idx="8">
                  <c:v>107.97682596706051</c:v>
                </c:pt>
                <c:pt idx="9">
                  <c:v>121.47392921294306</c:v>
                </c:pt>
                <c:pt idx="10">
                  <c:v>134.97103245882565</c:v>
                </c:pt>
                <c:pt idx="11">
                  <c:v>148.4681357047082</c:v>
                </c:pt>
                <c:pt idx="12">
                  <c:v>161.96523895059079</c:v>
                </c:pt>
                <c:pt idx="13">
                  <c:v>175.46234219647332</c:v>
                </c:pt>
                <c:pt idx="14">
                  <c:v>188.95944544235593</c:v>
                </c:pt>
                <c:pt idx="15">
                  <c:v>202.45654868823843</c:v>
                </c:pt>
                <c:pt idx="16">
                  <c:v>215.95365193412101</c:v>
                </c:pt>
                <c:pt idx="17">
                  <c:v>229.45075518000363</c:v>
                </c:pt>
                <c:pt idx="18">
                  <c:v>242.94785842588612</c:v>
                </c:pt>
                <c:pt idx="19">
                  <c:v>256.44496167176874</c:v>
                </c:pt>
                <c:pt idx="20">
                  <c:v>269.94206491765129</c:v>
                </c:pt>
                <c:pt idx="21">
                  <c:v>283.43916816353385</c:v>
                </c:pt>
                <c:pt idx="22">
                  <c:v>296.93627140941641</c:v>
                </c:pt>
                <c:pt idx="23">
                  <c:v>310.43337465529896</c:v>
                </c:pt>
                <c:pt idx="24">
                  <c:v>323.93047790118158</c:v>
                </c:pt>
                <c:pt idx="25">
                  <c:v>337.42758114706413</c:v>
                </c:pt>
                <c:pt idx="26">
                  <c:v>350</c:v>
                </c:pt>
                <c:pt idx="27">
                  <c:v>350</c:v>
                </c:pt>
                <c:pt idx="28">
                  <c:v>350</c:v>
                </c:pt>
                <c:pt idx="29">
                  <c:v>350</c:v>
                </c:pt>
                <c:pt idx="30">
                  <c:v>350</c:v>
                </c:pt>
                <c:pt idx="31">
                  <c:v>350</c:v>
                </c:pt>
                <c:pt idx="32">
                  <c:v>350</c:v>
                </c:pt>
                <c:pt idx="33">
                  <c:v>350</c:v>
                </c:pt>
                <c:pt idx="34">
                  <c:v>350</c:v>
                </c:pt>
                <c:pt idx="35">
                  <c:v>350</c:v>
                </c:pt>
                <c:pt idx="36">
                  <c:v>350</c:v>
                </c:pt>
                <c:pt idx="37">
                  <c:v>349.24761364916196</c:v>
                </c:pt>
                <c:pt idx="38">
                  <c:v>340.0568869741839</c:v>
                </c:pt>
                <c:pt idx="39">
                  <c:v>331.33747961587153</c:v>
                </c:pt>
                <c:pt idx="40">
                  <c:v>323.05404262547478</c:v>
                </c:pt>
                <c:pt idx="41">
                  <c:v>315.17467573217056</c:v>
                </c:pt>
                <c:pt idx="42">
                  <c:v>307.67051678616644</c:v>
                </c:pt>
                <c:pt idx="43">
                  <c:v>300.51538848881376</c:v>
                </c:pt>
                <c:pt idx="44">
                  <c:v>293.68549329588615</c:v>
                </c:pt>
                <c:pt idx="45">
                  <c:v>287.15914900042208</c:v>
                </c:pt>
                <c:pt idx="46">
                  <c:v>280.91655880476071</c:v>
                </c:pt>
                <c:pt idx="47">
                  <c:v>274.93961074508496</c:v>
                </c:pt>
                <c:pt idx="48">
                  <c:v>269.2117021878957</c:v>
                </c:pt>
                <c:pt idx="49">
                  <c:v>263.71758581671412</c:v>
                </c:pt>
                <c:pt idx="50">
                  <c:v>258.44323410037975</c:v>
                </c:pt>
                <c:pt idx="51">
                  <c:v>253.37571970625467</c:v>
                </c:pt>
                <c:pt idx="52">
                  <c:v>248.50310971190373</c:v>
                </c:pt>
                <c:pt idx="53">
                  <c:v>243.81437179281119</c:v>
                </c:pt>
                <c:pt idx="54">
                  <c:v>239.29929083368492</c:v>
                </c:pt>
                <c:pt idx="55">
                  <c:v>234.94839463670894</c:v>
                </c:pt>
                <c:pt idx="56">
                  <c:v>230.75288758962478</c:v>
                </c:pt>
                <c:pt idx="57">
                  <c:v>226.70459131612265</c:v>
                </c:pt>
                <c:pt idx="58">
                  <c:v>222.79589146584473</c:v>
                </c:pt>
                <c:pt idx="59">
                  <c:v>219.01968991557615</c:v>
                </c:pt>
                <c:pt idx="60">
                  <c:v>215.36936175031653</c:v>
                </c:pt>
                <c:pt idx="61">
                  <c:v>211.83871647572118</c:v>
                </c:pt>
                <c:pt idx="62">
                  <c:v>208.42196298417733</c:v>
                </c:pt>
                <c:pt idx="63">
                  <c:v>205.11367785744432</c:v>
                </c:pt>
                <c:pt idx="64">
                  <c:v>201.90877664092173</c:v>
                </c:pt>
                <c:pt idx="65">
                  <c:v>198.80248776952291</c:v>
                </c:pt>
                <c:pt idx="66">
                  <c:v>195.79032886392412</c:v>
                </c:pt>
                <c:pt idx="67">
                  <c:v>192.86808514953719</c:v>
                </c:pt>
                <c:pt idx="68">
                  <c:v>190.03178977969108</c:v>
                </c:pt>
                <c:pt idx="69">
                  <c:v>187.27770586984047</c:v>
                </c:pt>
                <c:pt idx="70">
                  <c:v>184.60231007169992</c:v>
                </c:pt>
                <c:pt idx="71">
                  <c:v>182.00227753547875</c:v>
                </c:pt>
                <c:pt idx="72">
                  <c:v>179.4744681252638</c:v>
                </c:pt>
                <c:pt idx="73">
                  <c:v>177.01591376738347</c:v>
                </c:pt>
                <c:pt idx="74">
                  <c:v>174.62380682458098</c:v>
                </c:pt>
                <c:pt idx="75">
                  <c:v>172.29548940025325</c:v>
                </c:pt>
                <c:pt idx="76">
                  <c:v>170.02844348709195</c:v>
                </c:pt>
                <c:pt idx="77">
                  <c:v>167.82028188336352</c:v>
                </c:pt>
                <c:pt idx="78">
                  <c:v>165.66873980793576</c:v>
                </c:pt>
                <c:pt idx="79">
                  <c:v>163.57166715213907</c:v>
                </c:pt>
                <c:pt idx="80">
                  <c:v>161.52702131273739</c:v>
                </c:pt>
                <c:pt idx="81">
                  <c:v>159.53286055578997</c:v>
                </c:pt>
                <c:pt idx="82">
                  <c:v>157.58733786608528</c:v>
                </c:pt>
                <c:pt idx="83">
                  <c:v>155.6886952411927</c:v>
                </c:pt>
                <c:pt idx="84">
                  <c:v>153.83525839308322</c:v>
                </c:pt>
                <c:pt idx="85">
                  <c:v>152.02543182375285</c:v>
                </c:pt>
                <c:pt idx="86">
                  <c:v>150.25769424440688</c:v>
                </c:pt>
                <c:pt idx="87">
                  <c:v>148.53059431056315</c:v>
                </c:pt>
                <c:pt idx="88">
                  <c:v>146.84274664794307</c:v>
                </c:pt>
                <c:pt idx="89">
                  <c:v>145.19282814628082</c:v>
                </c:pt>
                <c:pt idx="90">
                  <c:v>143.57957450021104</c:v>
                </c:pt>
                <c:pt idx="91">
                  <c:v>142.00177697823068</c:v>
                </c:pt>
                <c:pt idx="92">
                  <c:v>140.45827940238036</c:v>
                </c:pt>
                <c:pt idx="93">
                  <c:v>138.94797532278486</c:v>
                </c:pt>
                <c:pt idx="94">
                  <c:v>137.46980537254248</c:v>
                </c:pt>
                <c:pt idx="95">
                  <c:v>136.02275478967357</c:v>
                </c:pt>
                <c:pt idx="96">
                  <c:v>134.60585109394785</c:v>
                </c:pt>
                <c:pt idx="97">
                  <c:v>133.21816190741225</c:v>
                </c:pt>
                <c:pt idx="98">
                  <c:v>131.85879290835706</c:v>
                </c:pt>
                <c:pt idx="99">
                  <c:v>130.52688590928273</c:v>
                </c:pt>
                <c:pt idx="100">
                  <c:v>129.22161705018988</c:v>
                </c:pt>
              </c:numCache>
            </c:numRef>
          </c:val>
          <c:smooth val="0"/>
        </c:ser>
        <c:ser>
          <c:idx val="2"/>
          <c:order val="2"/>
          <c:tx>
            <c:v>VIN-max</c:v>
          </c:tx>
          <c:spPr>
            <a:ln>
              <a:solidFill>
                <a:srgbClr val="0000FF"/>
              </a:solidFill>
              <a:prstDash val="solid"/>
            </a:ln>
          </c:spPr>
          <c:marker>
            <c:symbol val="none"/>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19.000000000000004</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38.000000000000007</c:v>
                </c:pt>
                <c:pt idx="39">
                  <c:v>39</c:v>
                </c:pt>
                <c:pt idx="40">
                  <c:v>40</c:v>
                </c:pt>
                <c:pt idx="41">
                  <c:v>40.999999999999993</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71.000000000000014</c:v>
                </c:pt>
                <c:pt idx="72">
                  <c:v>72</c:v>
                </c:pt>
                <c:pt idx="73">
                  <c:v>73</c:v>
                </c:pt>
                <c:pt idx="74">
                  <c:v>74</c:v>
                </c:pt>
                <c:pt idx="75">
                  <c:v>75</c:v>
                </c:pt>
                <c:pt idx="76">
                  <c:v>76.000000000000014</c:v>
                </c:pt>
                <c:pt idx="77">
                  <c:v>77</c:v>
                </c:pt>
                <c:pt idx="78">
                  <c:v>78</c:v>
                </c:pt>
                <c:pt idx="79">
                  <c:v>79</c:v>
                </c:pt>
                <c:pt idx="80">
                  <c:v>80</c:v>
                </c:pt>
                <c:pt idx="81">
                  <c:v>81.000000000000014</c:v>
                </c:pt>
                <c:pt idx="82">
                  <c:v>81.999999999999986</c:v>
                </c:pt>
                <c:pt idx="83">
                  <c:v>83</c:v>
                </c:pt>
                <c:pt idx="84">
                  <c:v>84</c:v>
                </c:pt>
                <c:pt idx="85">
                  <c:v>85</c:v>
                </c:pt>
                <c:pt idx="86">
                  <c:v>86</c:v>
                </c:pt>
                <c:pt idx="87">
                  <c:v>86.999999999999986</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13.497103245882563</c:v>
                </c:pt>
                <c:pt idx="2">
                  <c:v>26.994206491765127</c:v>
                </c:pt>
                <c:pt idx="3">
                  <c:v>40.491309737647697</c:v>
                </c:pt>
                <c:pt idx="4">
                  <c:v>53.988412983530253</c:v>
                </c:pt>
                <c:pt idx="5">
                  <c:v>67.485516229412823</c:v>
                </c:pt>
                <c:pt idx="6">
                  <c:v>80.982619475295394</c:v>
                </c:pt>
                <c:pt idx="7">
                  <c:v>94.479722721177964</c:v>
                </c:pt>
                <c:pt idx="8">
                  <c:v>107.97682596706051</c:v>
                </c:pt>
                <c:pt idx="9">
                  <c:v>121.47392921294306</c:v>
                </c:pt>
                <c:pt idx="10">
                  <c:v>134.97103245882565</c:v>
                </c:pt>
                <c:pt idx="11">
                  <c:v>148.4681357047082</c:v>
                </c:pt>
                <c:pt idx="12">
                  <c:v>161.96523895059079</c:v>
                </c:pt>
                <c:pt idx="13">
                  <c:v>175.46234219647332</c:v>
                </c:pt>
                <c:pt idx="14">
                  <c:v>188.95944544235593</c:v>
                </c:pt>
                <c:pt idx="15">
                  <c:v>202.45654868823843</c:v>
                </c:pt>
                <c:pt idx="16">
                  <c:v>215.95365193412101</c:v>
                </c:pt>
                <c:pt idx="17">
                  <c:v>229.45075518000363</c:v>
                </c:pt>
                <c:pt idx="18">
                  <c:v>242.94785842588612</c:v>
                </c:pt>
                <c:pt idx="19">
                  <c:v>256.44496167176874</c:v>
                </c:pt>
                <c:pt idx="20">
                  <c:v>269.94206491765129</c:v>
                </c:pt>
                <c:pt idx="21">
                  <c:v>283.43916816353385</c:v>
                </c:pt>
                <c:pt idx="22">
                  <c:v>296.93627140941641</c:v>
                </c:pt>
                <c:pt idx="23">
                  <c:v>310.43337465529896</c:v>
                </c:pt>
                <c:pt idx="24">
                  <c:v>323.93047790118158</c:v>
                </c:pt>
                <c:pt idx="25">
                  <c:v>337.42758114706413</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344.44659246828502</c:v>
                </c:pt>
                <c:pt idx="51">
                  <c:v>337.69273771400492</c:v>
                </c:pt>
                <c:pt idx="52">
                  <c:v>331.19864660412026</c:v>
                </c:pt>
                <c:pt idx="53">
                  <c:v>324.94961553611802</c:v>
                </c:pt>
                <c:pt idx="54">
                  <c:v>318.93203006322688</c:v>
                </c:pt>
                <c:pt idx="55">
                  <c:v>313.13326588025916</c:v>
                </c:pt>
                <c:pt idx="56">
                  <c:v>307.54160041811167</c:v>
                </c:pt>
                <c:pt idx="57">
                  <c:v>302.1461337441097</c:v>
                </c:pt>
                <c:pt idx="58">
                  <c:v>296.93671764507337</c:v>
                </c:pt>
                <c:pt idx="59">
                  <c:v>291.90389192227548</c:v>
                </c:pt>
                <c:pt idx="60">
                  <c:v>287.03882705690427</c:v>
                </c:pt>
                <c:pt idx="61">
                  <c:v>282.33327251498775</c:v>
                </c:pt>
                <c:pt idx="62">
                  <c:v>277.77951005506861</c:v>
                </c:pt>
                <c:pt idx="63">
                  <c:v>273.37031148276594</c:v>
                </c:pt>
                <c:pt idx="64">
                  <c:v>269.09890036584767</c:v>
                </c:pt>
                <c:pt idx="65">
                  <c:v>264.95891728329616</c:v>
                </c:pt>
                <c:pt idx="66">
                  <c:v>260.94438823354926</c:v>
                </c:pt>
                <c:pt idx="67">
                  <c:v>257.04969587185451</c:v>
                </c:pt>
                <c:pt idx="68">
                  <c:v>253.26955328550372</c:v>
                </c:pt>
                <c:pt idx="69">
                  <c:v>249.59898004948198</c:v>
                </c:pt>
                <c:pt idx="70">
                  <c:v>246.03328033448938</c:v>
                </c:pt>
                <c:pt idx="71">
                  <c:v>242.56802286498956</c:v>
                </c:pt>
                <c:pt idx="72">
                  <c:v>239.19902254742018</c:v>
                </c:pt>
                <c:pt idx="73">
                  <c:v>235.92232360841447</c:v>
                </c:pt>
                <c:pt idx="74">
                  <c:v>232.73418410019266</c:v>
                </c:pt>
                <c:pt idx="75">
                  <c:v>229.63106164552332</c:v>
                </c:pt>
                <c:pt idx="76">
                  <c:v>226.60960030808229</c:v>
                </c:pt>
                <c:pt idx="77">
                  <c:v>223.66661848589936</c:v>
                </c:pt>
                <c:pt idx="78">
                  <c:v>220.79909773608014</c:v>
                </c:pt>
                <c:pt idx="79">
                  <c:v>218.00417244828165</c:v>
                </c:pt>
                <c:pt idx="80">
                  <c:v>215.27912029267819</c:v>
                </c:pt>
                <c:pt idx="81">
                  <c:v>212.6213533754846</c:v>
                </c:pt>
                <c:pt idx="82">
                  <c:v>210.02841004163724</c:v>
                </c:pt>
                <c:pt idx="83">
                  <c:v>207.4979472700513</c:v>
                </c:pt>
                <c:pt idx="84">
                  <c:v>205.02773361207446</c:v>
                </c:pt>
                <c:pt idx="85">
                  <c:v>202.61564262840301</c:v>
                </c:pt>
                <c:pt idx="86">
                  <c:v>200.25964678388669</c:v>
                </c:pt>
                <c:pt idx="87">
                  <c:v>197.95781176338224</c:v>
                </c:pt>
                <c:pt idx="88">
                  <c:v>195.708291175162</c:v>
                </c:pt>
                <c:pt idx="89">
                  <c:v>193.50932161139613</c:v>
                </c:pt>
                <c:pt idx="90">
                  <c:v>191.35921803793613</c:v>
                </c:pt>
                <c:pt idx="91">
                  <c:v>189.25636948806874</c:v>
                </c:pt>
                <c:pt idx="92">
                  <c:v>187.19923503711146</c:v>
                </c:pt>
                <c:pt idx="93">
                  <c:v>185.18634003671241</c:v>
                </c:pt>
                <c:pt idx="94">
                  <c:v>183.21627258951338</c:v>
                </c:pt>
                <c:pt idx="95">
                  <c:v>181.28768024646584</c:v>
                </c:pt>
                <c:pt idx="96">
                  <c:v>179.39926691056513</c:v>
                </c:pt>
                <c:pt idx="97">
                  <c:v>177.54978993210571</c:v>
                </c:pt>
                <c:pt idx="98">
                  <c:v>175.73805738177813</c:v>
                </c:pt>
                <c:pt idx="99">
                  <c:v>173.96292548903287</c:v>
                </c:pt>
                <c:pt idx="100">
                  <c:v>172.22329623414251</c:v>
                </c:pt>
              </c:numCache>
            </c:numRef>
          </c:val>
          <c:smooth val="0"/>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19.000000000000004</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38.000000000000007</c:v>
                </c:pt>
                <c:pt idx="39">
                  <c:v>39</c:v>
                </c:pt>
                <c:pt idx="40">
                  <c:v>40</c:v>
                </c:pt>
                <c:pt idx="41">
                  <c:v>40.999999999999993</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71.000000000000014</c:v>
                </c:pt>
                <c:pt idx="72">
                  <c:v>72</c:v>
                </c:pt>
                <c:pt idx="73">
                  <c:v>73</c:v>
                </c:pt>
                <c:pt idx="74">
                  <c:v>74</c:v>
                </c:pt>
                <c:pt idx="75">
                  <c:v>75</c:v>
                </c:pt>
                <c:pt idx="76">
                  <c:v>76.000000000000014</c:v>
                </c:pt>
                <c:pt idx="77">
                  <c:v>77</c:v>
                </c:pt>
                <c:pt idx="78">
                  <c:v>78</c:v>
                </c:pt>
                <c:pt idx="79">
                  <c:v>79</c:v>
                </c:pt>
                <c:pt idx="80">
                  <c:v>80</c:v>
                </c:pt>
                <c:pt idx="81">
                  <c:v>81.000000000000014</c:v>
                </c:pt>
                <c:pt idx="82">
                  <c:v>81.999999999999986</c:v>
                </c:pt>
                <c:pt idx="83">
                  <c:v>83</c:v>
                </c:pt>
                <c:pt idx="84">
                  <c:v>84</c:v>
                </c:pt>
                <c:pt idx="85">
                  <c:v>85</c:v>
                </c:pt>
                <c:pt idx="86">
                  <c:v>86</c:v>
                </c:pt>
                <c:pt idx="87">
                  <c:v>86.999999999999986</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Dual'!$CD$110:$CD$210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103.81741568073944</c:v>
                </c:pt>
                <c:pt idx="98">
                  <c:v>-50</c:v>
                </c:pt>
                <c:pt idx="99">
                  <c:v>-50</c:v>
                </c:pt>
                <c:pt idx="100">
                  <c:v>-50</c:v>
                </c:pt>
              </c:numCache>
            </c:numRef>
          </c:val>
          <c:smooth val="0"/>
        </c:ser>
        <c:ser>
          <c:idx val="4"/>
          <c:order val="4"/>
          <c:spPr>
            <a:ln>
              <a:noFill/>
            </a:ln>
          </c:spPr>
          <c:marker>
            <c:symbol val="x"/>
            <c:size val="10"/>
            <c:spPr>
              <a:pattFill prst="pct5">
                <a:fgClr>
                  <a:schemeClr val="tx1"/>
                </a:fgClr>
                <a:bgClr>
                  <a:schemeClr val="bg1"/>
                </a:bgClr>
              </a:pattFill>
              <a:ln>
                <a:solidFill>
                  <a:srgbClr val="FF0000"/>
                </a:solidFill>
              </a:ln>
            </c:spPr>
          </c:marker>
          <c:dPt>
            <c:idx val="65"/>
            <c:bubble3D val="0"/>
          </c:dPt>
          <c:dPt>
            <c:idx val="92"/>
            <c:bubble3D val="0"/>
          </c:dPt>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19.000000000000004</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38.000000000000007</c:v>
                </c:pt>
                <c:pt idx="39">
                  <c:v>39</c:v>
                </c:pt>
                <c:pt idx="40">
                  <c:v>40</c:v>
                </c:pt>
                <c:pt idx="41">
                  <c:v>40.999999999999993</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71.000000000000014</c:v>
                </c:pt>
                <c:pt idx="72">
                  <c:v>72</c:v>
                </c:pt>
                <c:pt idx="73">
                  <c:v>73</c:v>
                </c:pt>
                <c:pt idx="74">
                  <c:v>74</c:v>
                </c:pt>
                <c:pt idx="75">
                  <c:v>75</c:v>
                </c:pt>
                <c:pt idx="76">
                  <c:v>76.000000000000014</c:v>
                </c:pt>
                <c:pt idx="77">
                  <c:v>77</c:v>
                </c:pt>
                <c:pt idx="78">
                  <c:v>78</c:v>
                </c:pt>
                <c:pt idx="79">
                  <c:v>79</c:v>
                </c:pt>
                <c:pt idx="80">
                  <c:v>80</c:v>
                </c:pt>
                <c:pt idx="81">
                  <c:v>81.000000000000014</c:v>
                </c:pt>
                <c:pt idx="82">
                  <c:v>81.999999999999986</c:v>
                </c:pt>
                <c:pt idx="83">
                  <c:v>83</c:v>
                </c:pt>
                <c:pt idx="84">
                  <c:v>84</c:v>
                </c:pt>
                <c:pt idx="85">
                  <c:v>85</c:v>
                </c:pt>
                <c:pt idx="86">
                  <c:v>86</c:v>
                </c:pt>
                <c:pt idx="87">
                  <c:v>86.999999999999986</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Dual'!$CD$5:$CD$105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19.000000000000004</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38.000000000000007</c:v>
                </c:pt>
                <c:pt idx="39">
                  <c:v>39</c:v>
                </c:pt>
                <c:pt idx="40">
                  <c:v>40</c:v>
                </c:pt>
                <c:pt idx="41">
                  <c:v>40.999999999999993</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71.000000000000014</c:v>
                </c:pt>
                <c:pt idx="72">
                  <c:v>72</c:v>
                </c:pt>
                <c:pt idx="73">
                  <c:v>73</c:v>
                </c:pt>
                <c:pt idx="74">
                  <c:v>74</c:v>
                </c:pt>
                <c:pt idx="75">
                  <c:v>75</c:v>
                </c:pt>
                <c:pt idx="76">
                  <c:v>76.000000000000014</c:v>
                </c:pt>
                <c:pt idx="77">
                  <c:v>77</c:v>
                </c:pt>
                <c:pt idx="78">
                  <c:v>78</c:v>
                </c:pt>
                <c:pt idx="79">
                  <c:v>79</c:v>
                </c:pt>
                <c:pt idx="80">
                  <c:v>80</c:v>
                </c:pt>
                <c:pt idx="81">
                  <c:v>81.000000000000014</c:v>
                </c:pt>
                <c:pt idx="82">
                  <c:v>81.999999999999986</c:v>
                </c:pt>
                <c:pt idx="83">
                  <c:v>83</c:v>
                </c:pt>
                <c:pt idx="84">
                  <c:v>84</c:v>
                </c:pt>
                <c:pt idx="85">
                  <c:v>85</c:v>
                </c:pt>
                <c:pt idx="86">
                  <c:v>86</c:v>
                </c:pt>
                <c:pt idx="87">
                  <c:v>86.999999999999986</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Dual'!$CD$216:$CD$316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dLbls>
          <c:showLegendKey val="0"/>
          <c:showVal val="0"/>
          <c:showCatName val="0"/>
          <c:showSerName val="0"/>
          <c:showPercent val="0"/>
          <c:showBubbleSize val="0"/>
        </c:dLbls>
        <c:marker val="1"/>
        <c:smooth val="0"/>
        <c:axId val="211389056"/>
        <c:axId val="211403904"/>
      </c:lineChart>
      <c:catAx>
        <c:axId val="211389056"/>
        <c:scaling>
          <c:orientation val="minMax"/>
        </c:scaling>
        <c:delete val="0"/>
        <c:axPos val="b"/>
        <c:majorGridlines>
          <c:spPr>
            <a:ln w="15875">
              <a:solidFill>
                <a:srgbClr val="969696"/>
              </a:solidFill>
              <a:prstDash val="sysDash"/>
            </a:ln>
          </c:spPr>
        </c:majorGridlines>
        <c:title>
          <c:tx>
            <c:rich>
              <a:bodyPr/>
              <a:lstStyle/>
              <a:p>
                <a:pPr>
                  <a:defRPr sz="1000" b="1" i="0" u="none" strike="noStrike" baseline="0">
                    <a:solidFill>
                      <a:schemeClr val="tx1"/>
                    </a:solidFill>
                    <a:latin typeface="Arial" pitchFamily="34" charset="0"/>
                    <a:ea typeface="Calibri"/>
                    <a:cs typeface="Arial" pitchFamily="34" charset="0"/>
                  </a:defRPr>
                </a:pPr>
                <a:r>
                  <a:rPr lang="en-US" sz="1200" b="1" i="0" baseline="0">
                    <a:effectLst/>
                  </a:rPr>
                  <a:t>% Total Rated Output Power</a:t>
                </a:r>
                <a:endParaRPr lang="en-US" sz="1000">
                  <a:effectLst/>
                </a:endParaRPr>
              </a:p>
            </c:rich>
          </c:tx>
          <c:layout>
            <c:manualLayout>
              <c:xMode val="edge"/>
              <c:yMode val="edge"/>
              <c:x val="0.4098432024821038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211403904"/>
        <c:crosses val="autoZero"/>
        <c:auto val="1"/>
        <c:lblAlgn val="ctr"/>
        <c:lblOffset val="100"/>
        <c:tickLblSkip val="20"/>
        <c:tickMarkSkip val="10"/>
        <c:noMultiLvlLbl val="0"/>
      </c:catAx>
      <c:valAx>
        <c:axId val="211403904"/>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211389056"/>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1258613484968906"/>
          <c:y val="1.9480197482498431E-2"/>
          <c:w val="0.42410841724909248"/>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Single'!$AK$110:$AK$210</c:f>
              <c:numCache>
                <c:formatCode>0.000</c:formatCode>
                <c:ptCount val="101"/>
                <c:pt idx="0">
                  <c:v>1.0057142857142858</c:v>
                </c:pt>
                <c:pt idx="1">
                  <c:v>1.0077126304262185</c:v>
                </c:pt>
                <c:pt idx="2">
                  <c:v>1.0154252608524372</c:v>
                </c:pt>
                <c:pt idx="3">
                  <c:v>1.0231378912786557</c:v>
                </c:pt>
                <c:pt idx="4">
                  <c:v>1.0308505217048745</c:v>
                </c:pt>
                <c:pt idx="5">
                  <c:v>1.038563152131093</c:v>
                </c:pt>
                <c:pt idx="6">
                  <c:v>1.0462757825573117</c:v>
                </c:pt>
                <c:pt idx="7">
                  <c:v>1.0539884129835302</c:v>
                </c:pt>
                <c:pt idx="8">
                  <c:v>1.0617010434097489</c:v>
                </c:pt>
                <c:pt idx="9">
                  <c:v>1.0694136738359674</c:v>
                </c:pt>
                <c:pt idx="10">
                  <c:v>1.0771263042621861</c:v>
                </c:pt>
                <c:pt idx="11">
                  <c:v>1.0848389346884046</c:v>
                </c:pt>
                <c:pt idx="12">
                  <c:v>1.0925515651146234</c:v>
                </c:pt>
                <c:pt idx="13">
                  <c:v>1.1002641955408419</c:v>
                </c:pt>
                <c:pt idx="14">
                  <c:v>1.1079768259670606</c:v>
                </c:pt>
                <c:pt idx="15">
                  <c:v>1.1156894563932791</c:v>
                </c:pt>
                <c:pt idx="16">
                  <c:v>1.1234020868194978</c:v>
                </c:pt>
                <c:pt idx="17">
                  <c:v>1.1311147172457163</c:v>
                </c:pt>
                <c:pt idx="18">
                  <c:v>1.1388273476719348</c:v>
                </c:pt>
                <c:pt idx="19">
                  <c:v>1.1465399780981536</c:v>
                </c:pt>
                <c:pt idx="20">
                  <c:v>1.1542526085243723</c:v>
                </c:pt>
                <c:pt idx="21">
                  <c:v>1.1619652389505908</c:v>
                </c:pt>
                <c:pt idx="22">
                  <c:v>1.1696778693768093</c:v>
                </c:pt>
                <c:pt idx="23">
                  <c:v>1.177390499803028</c:v>
                </c:pt>
                <c:pt idx="24">
                  <c:v>1.1851031302292467</c:v>
                </c:pt>
                <c:pt idx="25">
                  <c:v>1.1928157606554652</c:v>
                </c:pt>
                <c:pt idx="26">
                  <c:v>1.2002835784040764</c:v>
                </c:pt>
                <c:pt idx="27">
                  <c:v>1.2043810588360238</c:v>
                </c:pt>
                <c:pt idx="28">
                  <c:v>1.2084033369689506</c:v>
                </c:pt>
                <c:pt idx="29">
                  <c:v>1.2123544074534447</c:v>
                </c:pt>
                <c:pt idx="30">
                  <c:v>1.2162379233342311</c:v>
                </c:pt>
                <c:pt idx="31">
                  <c:v>1.2200572356006769</c:v>
                </c:pt>
                <c:pt idx="32">
                  <c:v>1.223815427037686</c:v>
                </c:pt>
                <c:pt idx="33">
                  <c:v>1.2275153413498456</c:v>
                </c:pt>
                <c:pt idx="34">
                  <c:v>1.2311596083413223</c:v>
                </c:pt>
                <c:pt idx="35">
                  <c:v>1.234750665785368</c:v>
                </c:pt>
                <c:pt idx="36">
                  <c:v>1.238290778500319</c:v>
                </c:pt>
                <c:pt idx="37">
                  <c:v>1.2417820550562177</c:v>
                </c:pt>
                <c:pt idx="38">
                  <c:v>1.2452264624621154</c:v>
                </c:pt>
                <c:pt idx="39">
                  <c:v>1.2486258391245935</c:v>
                </c:pt>
                <c:pt idx="40">
                  <c:v>1.2519819063198887</c:v>
                </c:pt>
                <c:pt idx="41">
                  <c:v>1.2552962783828443</c:v>
                </c:pt>
                <c:pt idx="42">
                  <c:v>1.2585704717838613</c:v>
                </c:pt>
                <c:pt idx="43">
                  <c:v>1.2618059132386807</c:v>
                </c:pt>
                <c:pt idx="44">
                  <c:v>1.2650039469740468</c:v>
                </c:pt>
                <c:pt idx="45">
                  <c:v>1.2681658412542129</c:v>
                </c:pt>
                <c:pt idx="46">
                  <c:v>1.2712927942581755</c:v>
                </c:pt>
                <c:pt idx="47">
                  <c:v>1.274385939384874</c:v>
                </c:pt>
                <c:pt idx="48">
                  <c:v>1.27744635005297</c:v>
                </c:pt>
                <c:pt idx="49">
                  <c:v>1.2804750440528412</c:v>
                </c:pt>
                <c:pt idx="50">
                  <c:v>1.2834729875008113</c:v>
                </c:pt>
                <c:pt idx="51">
                  <c:v>1.2864410984391688</c:v>
                </c:pt>
                <c:pt idx="52">
                  <c:v>1.289380250120002</c:v>
                </c:pt>
                <c:pt idx="53">
                  <c:v>1.2922912740061383</c:v>
                </c:pt>
                <c:pt idx="54">
                  <c:v>1.2951749625184206</c:v>
                </c:pt>
                <c:pt idx="55">
                  <c:v>1.2980320715550429</c:v>
                </c:pt>
                <c:pt idx="56">
                  <c:v>1.3008633228056423</c:v>
                </c:pt>
                <c:pt idx="57">
                  <c:v>1.3036694058802236</c:v>
                </c:pt>
                <c:pt idx="58">
                  <c:v>1.3224362854444243</c:v>
                </c:pt>
                <c:pt idx="59">
                  <c:v>1.3282509595868248</c:v>
                </c:pt>
                <c:pt idx="60">
                  <c:v>1.3340656337292256</c:v>
                </c:pt>
                <c:pt idx="61">
                  <c:v>1.3398803078716264</c:v>
                </c:pt>
                <c:pt idx="62">
                  <c:v>1.3456949820140269</c:v>
                </c:pt>
                <c:pt idx="63">
                  <c:v>1.3515096561564277</c:v>
                </c:pt>
                <c:pt idx="64">
                  <c:v>1.3573243302988285</c:v>
                </c:pt>
                <c:pt idx="65">
                  <c:v>1.363139004441229</c:v>
                </c:pt>
                <c:pt idx="66">
                  <c:v>1.3689536785836296</c:v>
                </c:pt>
                <c:pt idx="67">
                  <c:v>1.3747683527260304</c:v>
                </c:pt>
                <c:pt idx="68">
                  <c:v>1.3805830268684312</c:v>
                </c:pt>
                <c:pt idx="69">
                  <c:v>1.3863977010108317</c:v>
                </c:pt>
                <c:pt idx="70">
                  <c:v>1.3922123751532323</c:v>
                </c:pt>
                <c:pt idx="71">
                  <c:v>1.398027049295633</c:v>
                </c:pt>
                <c:pt idx="72">
                  <c:v>1.4038417234380338</c:v>
                </c:pt>
                <c:pt idx="73">
                  <c:v>1.4096563975804344</c:v>
                </c:pt>
                <c:pt idx="74">
                  <c:v>1.4154710717228352</c:v>
                </c:pt>
                <c:pt idx="75">
                  <c:v>1.4212857458652357</c:v>
                </c:pt>
                <c:pt idx="76">
                  <c:v>1.4271004200076365</c:v>
                </c:pt>
                <c:pt idx="77">
                  <c:v>1.432915094150037</c:v>
                </c:pt>
                <c:pt idx="78">
                  <c:v>1.4387297682924378</c:v>
                </c:pt>
                <c:pt idx="79">
                  <c:v>1.4445444424348386</c:v>
                </c:pt>
                <c:pt idx="80">
                  <c:v>1.4503591165772391</c:v>
                </c:pt>
                <c:pt idx="81">
                  <c:v>1.4561737907196399</c:v>
                </c:pt>
                <c:pt idx="82">
                  <c:v>1.4619884648620405</c:v>
                </c:pt>
                <c:pt idx="83">
                  <c:v>1.4678031390044413</c:v>
                </c:pt>
                <c:pt idx="84">
                  <c:v>1.4736178131468418</c:v>
                </c:pt>
                <c:pt idx="85">
                  <c:v>1.4794324872892424</c:v>
                </c:pt>
                <c:pt idx="86">
                  <c:v>1.4852471614316431</c:v>
                </c:pt>
                <c:pt idx="87">
                  <c:v>1.4910618355740439</c:v>
                </c:pt>
                <c:pt idx="88">
                  <c:v>1.4968765097164445</c:v>
                </c:pt>
                <c:pt idx="89">
                  <c:v>1.5026911838588453</c:v>
                </c:pt>
                <c:pt idx="90">
                  <c:v>1.508505858001246</c:v>
                </c:pt>
                <c:pt idx="91">
                  <c:v>1.5143205321436466</c:v>
                </c:pt>
                <c:pt idx="92">
                  <c:v>1.5201352062860471</c:v>
                </c:pt>
                <c:pt idx="93">
                  <c:v>1.5259498804284479</c:v>
                </c:pt>
                <c:pt idx="94">
                  <c:v>1.5317645545708487</c:v>
                </c:pt>
                <c:pt idx="95">
                  <c:v>1.5375792287132493</c:v>
                </c:pt>
                <c:pt idx="96">
                  <c:v>1.5433939028556498</c:v>
                </c:pt>
                <c:pt idx="97">
                  <c:v>1.5492085769980506</c:v>
                </c:pt>
                <c:pt idx="98">
                  <c:v>1.5550232511404511</c:v>
                </c:pt>
                <c:pt idx="99">
                  <c:v>1.5608379252828519</c:v>
                </c:pt>
                <c:pt idx="100">
                  <c:v>1.5666525994252527</c:v>
                </c:pt>
              </c:numCache>
            </c:numRef>
          </c:val>
          <c:smooth val="0"/>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1.1000000000000001</c:v>
                </c:pt>
                <c:pt idx="2">
                  <c:v>2.2000000000000002</c:v>
                </c:pt>
                <c:pt idx="3">
                  <c:v>3.3</c:v>
                </c:pt>
                <c:pt idx="4">
                  <c:v>4.4000000000000004</c:v>
                </c:pt>
                <c:pt idx="5">
                  <c:v>5.5000000000000009</c:v>
                </c:pt>
                <c:pt idx="6">
                  <c:v>6.6</c:v>
                </c:pt>
                <c:pt idx="7">
                  <c:v>7.7000000000000011</c:v>
                </c:pt>
                <c:pt idx="8">
                  <c:v>8.8000000000000007</c:v>
                </c:pt>
                <c:pt idx="9">
                  <c:v>9.8999999999999986</c:v>
                </c:pt>
                <c:pt idx="10">
                  <c:v>11.000000000000002</c:v>
                </c:pt>
                <c:pt idx="11">
                  <c:v>12.1</c:v>
                </c:pt>
                <c:pt idx="12">
                  <c:v>13.2</c:v>
                </c:pt>
                <c:pt idx="13">
                  <c:v>14.3</c:v>
                </c:pt>
                <c:pt idx="14">
                  <c:v>15.400000000000002</c:v>
                </c:pt>
                <c:pt idx="15">
                  <c:v>16.5</c:v>
                </c:pt>
                <c:pt idx="16">
                  <c:v>17.600000000000001</c:v>
                </c:pt>
                <c:pt idx="17">
                  <c:v>18.700000000000003</c:v>
                </c:pt>
                <c:pt idx="18">
                  <c:v>19.799999999999997</c:v>
                </c:pt>
                <c:pt idx="19">
                  <c:v>20.900000000000002</c:v>
                </c:pt>
                <c:pt idx="20">
                  <c:v>22.000000000000004</c:v>
                </c:pt>
                <c:pt idx="21">
                  <c:v>23.099999999999998</c:v>
                </c:pt>
                <c:pt idx="22">
                  <c:v>24.2</c:v>
                </c:pt>
                <c:pt idx="23">
                  <c:v>25.3</c:v>
                </c:pt>
                <c:pt idx="24">
                  <c:v>26.4</c:v>
                </c:pt>
                <c:pt idx="25">
                  <c:v>27.5</c:v>
                </c:pt>
                <c:pt idx="26">
                  <c:v>28.6</c:v>
                </c:pt>
                <c:pt idx="27">
                  <c:v>29.7</c:v>
                </c:pt>
                <c:pt idx="28">
                  <c:v>30.800000000000004</c:v>
                </c:pt>
                <c:pt idx="29">
                  <c:v>31.9</c:v>
                </c:pt>
                <c:pt idx="30">
                  <c:v>33</c:v>
                </c:pt>
                <c:pt idx="31">
                  <c:v>34.1</c:v>
                </c:pt>
                <c:pt idx="32">
                  <c:v>35.200000000000003</c:v>
                </c:pt>
                <c:pt idx="33">
                  <c:v>36.299999999999997</c:v>
                </c:pt>
                <c:pt idx="34">
                  <c:v>37.400000000000006</c:v>
                </c:pt>
                <c:pt idx="35">
                  <c:v>38.5</c:v>
                </c:pt>
                <c:pt idx="36">
                  <c:v>39.599999999999994</c:v>
                </c:pt>
                <c:pt idx="37">
                  <c:v>40.700000000000003</c:v>
                </c:pt>
                <c:pt idx="38">
                  <c:v>41.800000000000004</c:v>
                </c:pt>
                <c:pt idx="39">
                  <c:v>42.9</c:v>
                </c:pt>
                <c:pt idx="40">
                  <c:v>44.000000000000007</c:v>
                </c:pt>
                <c:pt idx="41">
                  <c:v>45.099999999999994</c:v>
                </c:pt>
                <c:pt idx="42">
                  <c:v>46.199999999999996</c:v>
                </c:pt>
                <c:pt idx="43">
                  <c:v>47.300000000000004</c:v>
                </c:pt>
                <c:pt idx="44">
                  <c:v>48.4</c:v>
                </c:pt>
                <c:pt idx="45">
                  <c:v>49.5</c:v>
                </c:pt>
                <c:pt idx="46">
                  <c:v>50.6</c:v>
                </c:pt>
                <c:pt idx="47">
                  <c:v>51.699999999999996</c:v>
                </c:pt>
                <c:pt idx="48">
                  <c:v>52.8</c:v>
                </c:pt>
                <c:pt idx="49">
                  <c:v>53.9</c:v>
                </c:pt>
                <c:pt idx="50">
                  <c:v>55</c:v>
                </c:pt>
                <c:pt idx="51">
                  <c:v>56.1</c:v>
                </c:pt>
                <c:pt idx="52">
                  <c:v>57.2</c:v>
                </c:pt>
                <c:pt idx="53">
                  <c:v>58.300000000000004</c:v>
                </c:pt>
                <c:pt idx="54">
                  <c:v>59.4</c:v>
                </c:pt>
                <c:pt idx="55">
                  <c:v>60.500000000000007</c:v>
                </c:pt>
                <c:pt idx="56">
                  <c:v>61.600000000000009</c:v>
                </c:pt>
                <c:pt idx="57">
                  <c:v>62.699999999999989</c:v>
                </c:pt>
                <c:pt idx="58">
                  <c:v>63.8</c:v>
                </c:pt>
                <c:pt idx="59">
                  <c:v>64.900000000000006</c:v>
                </c:pt>
                <c:pt idx="60">
                  <c:v>66</c:v>
                </c:pt>
                <c:pt idx="61">
                  <c:v>67.099999999999994</c:v>
                </c:pt>
                <c:pt idx="62">
                  <c:v>68.2</c:v>
                </c:pt>
                <c:pt idx="63">
                  <c:v>69.3</c:v>
                </c:pt>
                <c:pt idx="64">
                  <c:v>70.400000000000006</c:v>
                </c:pt>
                <c:pt idx="65">
                  <c:v>71.500000000000014</c:v>
                </c:pt>
                <c:pt idx="66">
                  <c:v>72.599999999999994</c:v>
                </c:pt>
                <c:pt idx="67">
                  <c:v>73.7</c:v>
                </c:pt>
                <c:pt idx="68">
                  <c:v>74.800000000000011</c:v>
                </c:pt>
                <c:pt idx="69">
                  <c:v>75.899999999999991</c:v>
                </c:pt>
                <c:pt idx="70">
                  <c:v>77</c:v>
                </c:pt>
                <c:pt idx="71">
                  <c:v>78.100000000000009</c:v>
                </c:pt>
                <c:pt idx="72">
                  <c:v>79.199999999999989</c:v>
                </c:pt>
                <c:pt idx="73">
                  <c:v>80.3</c:v>
                </c:pt>
                <c:pt idx="74">
                  <c:v>81.400000000000006</c:v>
                </c:pt>
                <c:pt idx="75">
                  <c:v>82.5</c:v>
                </c:pt>
                <c:pt idx="76">
                  <c:v>83.600000000000009</c:v>
                </c:pt>
                <c:pt idx="77">
                  <c:v>84.7</c:v>
                </c:pt>
                <c:pt idx="78">
                  <c:v>85.8</c:v>
                </c:pt>
                <c:pt idx="79">
                  <c:v>86.9</c:v>
                </c:pt>
                <c:pt idx="80">
                  <c:v>88.000000000000014</c:v>
                </c:pt>
                <c:pt idx="81">
                  <c:v>89.100000000000009</c:v>
                </c:pt>
                <c:pt idx="82">
                  <c:v>90.199999999999989</c:v>
                </c:pt>
                <c:pt idx="83">
                  <c:v>91.3</c:v>
                </c:pt>
                <c:pt idx="84">
                  <c:v>92.399999999999991</c:v>
                </c:pt>
                <c:pt idx="85">
                  <c:v>93.5</c:v>
                </c:pt>
                <c:pt idx="86">
                  <c:v>94.600000000000009</c:v>
                </c:pt>
                <c:pt idx="87">
                  <c:v>95.699999999999989</c:v>
                </c:pt>
                <c:pt idx="88">
                  <c:v>96.8</c:v>
                </c:pt>
                <c:pt idx="89">
                  <c:v>97.9</c:v>
                </c:pt>
                <c:pt idx="90">
                  <c:v>99</c:v>
                </c:pt>
                <c:pt idx="91">
                  <c:v>100.10000000000001</c:v>
                </c:pt>
                <c:pt idx="92">
                  <c:v>101.2</c:v>
                </c:pt>
                <c:pt idx="93">
                  <c:v>102.3</c:v>
                </c:pt>
                <c:pt idx="94">
                  <c:v>103.39999999999999</c:v>
                </c:pt>
                <c:pt idx="95">
                  <c:v>104.5</c:v>
                </c:pt>
                <c:pt idx="96">
                  <c:v>105.6</c:v>
                </c:pt>
                <c:pt idx="97">
                  <c:v>106.7</c:v>
                </c:pt>
                <c:pt idx="98">
                  <c:v>107.8</c:v>
                </c:pt>
                <c:pt idx="99">
                  <c:v>108.89999999999999</c:v>
                </c:pt>
                <c:pt idx="100">
                  <c:v>110</c:v>
                </c:pt>
              </c:numCache>
            </c:numRef>
          </c:cat>
          <c:val>
            <c:numRef>
              <c:f>'Calculations - Single'!$AK$5:$AK$105</c:f>
              <c:numCache>
                <c:formatCode>0.000</c:formatCode>
                <c:ptCount val="101"/>
                <c:pt idx="0">
                  <c:v>1.0057142857142858</c:v>
                </c:pt>
                <c:pt idx="1">
                  <c:v>1.0077126304262185</c:v>
                </c:pt>
                <c:pt idx="2">
                  <c:v>1.0154252608524372</c:v>
                </c:pt>
                <c:pt idx="3">
                  <c:v>1.0231378912786557</c:v>
                </c:pt>
                <c:pt idx="4">
                  <c:v>1.0308505217048745</c:v>
                </c:pt>
                <c:pt idx="5">
                  <c:v>1.038563152131093</c:v>
                </c:pt>
                <c:pt idx="6">
                  <c:v>1.0462757825573117</c:v>
                </c:pt>
                <c:pt idx="7">
                  <c:v>1.0539884129835302</c:v>
                </c:pt>
                <c:pt idx="8">
                  <c:v>1.0617010434097489</c:v>
                </c:pt>
                <c:pt idx="9">
                  <c:v>1.0694136738359674</c:v>
                </c:pt>
                <c:pt idx="10">
                  <c:v>1.0771263042621861</c:v>
                </c:pt>
                <c:pt idx="11">
                  <c:v>1.0848389346884046</c:v>
                </c:pt>
                <c:pt idx="12">
                  <c:v>1.0925515651146234</c:v>
                </c:pt>
                <c:pt idx="13">
                  <c:v>1.1002641955408419</c:v>
                </c:pt>
                <c:pt idx="14">
                  <c:v>1.1079768259670606</c:v>
                </c:pt>
                <c:pt idx="15">
                  <c:v>1.1156894563932791</c:v>
                </c:pt>
                <c:pt idx="16">
                  <c:v>1.1234020868194978</c:v>
                </c:pt>
                <c:pt idx="17">
                  <c:v>1.1311147172457163</c:v>
                </c:pt>
                <c:pt idx="18">
                  <c:v>1.1388273476719348</c:v>
                </c:pt>
                <c:pt idx="19">
                  <c:v>1.1465399780981536</c:v>
                </c:pt>
                <c:pt idx="20">
                  <c:v>1.1542526085243723</c:v>
                </c:pt>
                <c:pt idx="21">
                  <c:v>1.1619652389505908</c:v>
                </c:pt>
                <c:pt idx="22">
                  <c:v>1.1696778693768093</c:v>
                </c:pt>
                <c:pt idx="23">
                  <c:v>1.177390499803028</c:v>
                </c:pt>
                <c:pt idx="24">
                  <c:v>1.1851031302292467</c:v>
                </c:pt>
                <c:pt idx="25">
                  <c:v>1.1928157606554652</c:v>
                </c:pt>
                <c:pt idx="26">
                  <c:v>1.2058714801960677</c:v>
                </c:pt>
                <c:pt idx="27">
                  <c:v>1.2100754064173382</c:v>
                </c:pt>
                <c:pt idx="28">
                  <c:v>1.2142021767077866</c:v>
                </c:pt>
                <c:pt idx="29">
                  <c:v>1.21825588949244</c:v>
                </c:pt>
                <c:pt idx="30">
                  <c:v>1.222240292716106</c:v>
                </c:pt>
                <c:pt idx="31">
                  <c:v>1.2261588244213326</c:v>
                </c:pt>
                <c:pt idx="32">
                  <c:v>1.2300146474786957</c:v>
                </c:pt>
                <c:pt idx="33">
                  <c:v>1.2338106794675416</c:v>
                </c:pt>
                <c:pt idx="34">
                  <c:v>1.2375496185100152</c:v>
                </c:pt>
                <c:pt idx="35">
                  <c:v>1.2412339657087001</c:v>
                </c:pt>
                <c:pt idx="36">
                  <c:v>1.2448660447181814</c:v>
                </c:pt>
                <c:pt idx="37">
                  <c:v>1.2484480188856759</c:v>
                </c:pt>
                <c:pt idx="38">
                  <c:v>1.2519819063198887</c:v>
                </c:pt>
                <c:pt idx="39">
                  <c:v>1.2554695931861746</c:v>
                </c:pt>
                <c:pt idx="40">
                  <c:v>1.2589128454766907</c:v>
                </c:pt>
                <c:pt idx="41">
                  <c:v>1.262313319464039</c:v>
                </c:pt>
                <c:pt idx="42">
                  <c:v>1.2656725710140224</c:v>
                </c:pt>
                <c:pt idx="43">
                  <c:v>1.2689920639061061</c:v>
                </c:pt>
                <c:pt idx="44">
                  <c:v>1.2722731772878297</c:v>
                </c:pt>
                <c:pt idx="45">
                  <c:v>1.275517212370862</c:v>
                </c:pt>
                <c:pt idx="46">
                  <c:v>1.2787253984609153</c:v>
                </c:pt>
                <c:pt idx="47">
                  <c:v>1.2818988984007655</c:v>
                </c:pt>
                <c:pt idx="48">
                  <c:v>1.2850388134947226</c:v>
                </c:pt>
                <c:pt idx="49">
                  <c:v>1.2881461879736806</c:v>
                </c:pt>
                <c:pt idx="50">
                  <c:v>1.2912220130520733</c:v>
                </c:pt>
                <c:pt idx="51">
                  <c:v>1.2942672306214154</c:v>
                </c:pt>
                <c:pt idx="52">
                  <c:v>1.297282736619445</c:v>
                </c:pt>
                <c:pt idx="53">
                  <c:v>1.3002693841090236</c:v>
                </c:pt>
                <c:pt idx="54">
                  <c:v>1.3032279860967819</c:v>
                </c:pt>
                <c:pt idx="55">
                  <c:v>1.3061593181179032</c:v>
                </c:pt>
                <c:pt idx="56">
                  <c:v>1.3090641206103324</c:v>
                </c:pt>
                <c:pt idx="57">
                  <c:v>1.3119431010990052</c:v>
                </c:pt>
                <c:pt idx="58">
                  <c:v>1.3147969362083545</c:v>
                </c:pt>
                <c:pt idx="59">
                  <c:v>1.3176262735193083</c:v>
                </c:pt>
                <c:pt idx="60">
                  <c:v>1.3204317332852258</c:v>
                </c:pt>
                <c:pt idx="61">
                  <c:v>1.3232139100196427</c:v>
                </c:pt>
                <c:pt idx="62">
                  <c:v>1.3259733739673463</c:v>
                </c:pt>
                <c:pt idx="63">
                  <c:v>1.3287106724690874</c:v>
                </c:pt>
                <c:pt idx="64">
                  <c:v>1.3314263312291801</c:v>
                </c:pt>
                <c:pt idx="65">
                  <c:v>1.334120855494306</c:v>
                </c:pt>
                <c:pt idx="66">
                  <c:v>1.336794731151008</c:v>
                </c:pt>
                <c:pt idx="67">
                  <c:v>1.3394484257486237</c:v>
                </c:pt>
                <c:pt idx="68">
                  <c:v>1.3420823894537606</c:v>
                </c:pt>
                <c:pt idx="69">
                  <c:v>1.344697055941829</c:v>
                </c:pt>
                <c:pt idx="70">
                  <c:v>1.3472928432306321</c:v>
                </c:pt>
                <c:pt idx="71">
                  <c:v>1.3498701544605516</c:v>
                </c:pt>
                <c:pt idx="72">
                  <c:v>1.3524293786254509</c:v>
                </c:pt>
                <c:pt idx="73">
                  <c:v>1.3549708912580511</c:v>
                </c:pt>
                <c:pt idx="74">
                  <c:v>1.3646952432627963</c:v>
                </c:pt>
                <c:pt idx="75">
                  <c:v>1.3698237575611423</c:v>
                </c:pt>
                <c:pt idx="76">
                  <c:v>1.3749522718594884</c:v>
                </c:pt>
                <c:pt idx="77">
                  <c:v>1.3800807861578344</c:v>
                </c:pt>
                <c:pt idx="78">
                  <c:v>1.3852093004561805</c:v>
                </c:pt>
                <c:pt idx="79">
                  <c:v>1.3903378147545267</c:v>
                </c:pt>
                <c:pt idx="80">
                  <c:v>1.3954663290528728</c:v>
                </c:pt>
                <c:pt idx="81">
                  <c:v>1.400594843351219</c:v>
                </c:pt>
                <c:pt idx="82">
                  <c:v>1.4057233576495649</c:v>
                </c:pt>
                <c:pt idx="83">
                  <c:v>1.4108518719479108</c:v>
                </c:pt>
                <c:pt idx="84">
                  <c:v>1.415980386246257</c:v>
                </c:pt>
                <c:pt idx="85">
                  <c:v>1.4211089005446031</c:v>
                </c:pt>
                <c:pt idx="86">
                  <c:v>1.4262374148429493</c:v>
                </c:pt>
                <c:pt idx="87">
                  <c:v>1.4313659291412955</c:v>
                </c:pt>
                <c:pt idx="88">
                  <c:v>1.4364944434396416</c:v>
                </c:pt>
                <c:pt idx="89">
                  <c:v>1.4416229577379875</c:v>
                </c:pt>
                <c:pt idx="90">
                  <c:v>1.4467514720363337</c:v>
                </c:pt>
                <c:pt idx="91">
                  <c:v>1.4518799863346799</c:v>
                </c:pt>
                <c:pt idx="92">
                  <c:v>1.4570085006330258</c:v>
                </c:pt>
                <c:pt idx="93">
                  <c:v>1.4621370149313719</c:v>
                </c:pt>
                <c:pt idx="94">
                  <c:v>1.4672655292297181</c:v>
                </c:pt>
                <c:pt idx="95">
                  <c:v>1.4723940435280642</c:v>
                </c:pt>
                <c:pt idx="96">
                  <c:v>1.4775225578264102</c:v>
                </c:pt>
                <c:pt idx="97">
                  <c:v>1.4826510721247563</c:v>
                </c:pt>
                <c:pt idx="98">
                  <c:v>1.4877795864231023</c:v>
                </c:pt>
                <c:pt idx="99">
                  <c:v>1.4929081007214484</c:v>
                </c:pt>
                <c:pt idx="100">
                  <c:v>1.4980366150197946</c:v>
                </c:pt>
              </c:numCache>
            </c:numRef>
          </c:val>
          <c:smooth val="0"/>
        </c:ser>
        <c:ser>
          <c:idx val="2"/>
          <c:order val="2"/>
          <c:tx>
            <c:v>VIN-max</c:v>
          </c:tx>
          <c:spPr>
            <a:ln>
              <a:solidFill>
                <a:srgbClr val="FF0000"/>
              </a:solidFill>
              <a:prstDash val="solid"/>
            </a:ln>
          </c:spPr>
          <c:marker>
            <c:symbol val="none"/>
          </c:marker>
          <c:val>
            <c:numRef>
              <c:f>'Calculations - Single'!$AK$216:$AK$316</c:f>
              <c:numCache>
                <c:formatCode>0.000</c:formatCode>
                <c:ptCount val="101"/>
                <c:pt idx="0">
                  <c:v>1.0057142857142858</c:v>
                </c:pt>
                <c:pt idx="1">
                  <c:v>1.0077126304262185</c:v>
                </c:pt>
                <c:pt idx="2">
                  <c:v>1.0154252608524372</c:v>
                </c:pt>
                <c:pt idx="3">
                  <c:v>1.0231378912786557</c:v>
                </c:pt>
                <c:pt idx="4">
                  <c:v>1.0308505217048745</c:v>
                </c:pt>
                <c:pt idx="5">
                  <c:v>1.038563152131093</c:v>
                </c:pt>
                <c:pt idx="6">
                  <c:v>1.0462757825573117</c:v>
                </c:pt>
                <c:pt idx="7">
                  <c:v>1.0539884129835302</c:v>
                </c:pt>
                <c:pt idx="8">
                  <c:v>1.0617010434097489</c:v>
                </c:pt>
                <c:pt idx="9">
                  <c:v>1.0694136738359674</c:v>
                </c:pt>
                <c:pt idx="10">
                  <c:v>1.0771263042621861</c:v>
                </c:pt>
                <c:pt idx="11">
                  <c:v>1.0848389346884046</c:v>
                </c:pt>
                <c:pt idx="12">
                  <c:v>1.0925515651146234</c:v>
                </c:pt>
                <c:pt idx="13">
                  <c:v>1.1002641955408419</c:v>
                </c:pt>
                <c:pt idx="14">
                  <c:v>1.1079768259670606</c:v>
                </c:pt>
                <c:pt idx="15">
                  <c:v>1.1156894563932791</c:v>
                </c:pt>
                <c:pt idx="16">
                  <c:v>1.1234020868194978</c:v>
                </c:pt>
                <c:pt idx="17">
                  <c:v>1.1311147172457163</c:v>
                </c:pt>
                <c:pt idx="18">
                  <c:v>1.1388273476719348</c:v>
                </c:pt>
                <c:pt idx="19">
                  <c:v>1.1465399780981536</c:v>
                </c:pt>
                <c:pt idx="20">
                  <c:v>1.1542526085243723</c:v>
                </c:pt>
                <c:pt idx="21">
                  <c:v>1.1619652389505908</c:v>
                </c:pt>
                <c:pt idx="22">
                  <c:v>1.1696778693768093</c:v>
                </c:pt>
                <c:pt idx="23">
                  <c:v>1.177390499803028</c:v>
                </c:pt>
                <c:pt idx="24">
                  <c:v>1.1851031302292467</c:v>
                </c:pt>
                <c:pt idx="25">
                  <c:v>1.1928157606554652</c:v>
                </c:pt>
                <c:pt idx="26">
                  <c:v>1.2002835784040764</c:v>
                </c:pt>
                <c:pt idx="27">
                  <c:v>1.2043810588360238</c:v>
                </c:pt>
                <c:pt idx="28">
                  <c:v>1.2084033369689506</c:v>
                </c:pt>
                <c:pt idx="29">
                  <c:v>1.2123544074534447</c:v>
                </c:pt>
                <c:pt idx="30">
                  <c:v>1.2162379233342311</c:v>
                </c:pt>
                <c:pt idx="31">
                  <c:v>1.2200572356006769</c:v>
                </c:pt>
                <c:pt idx="32">
                  <c:v>1.223815427037686</c:v>
                </c:pt>
                <c:pt idx="33">
                  <c:v>1.2275153413498456</c:v>
                </c:pt>
                <c:pt idx="34">
                  <c:v>1.2311596083413223</c:v>
                </c:pt>
                <c:pt idx="35">
                  <c:v>1.234750665785368</c:v>
                </c:pt>
                <c:pt idx="36">
                  <c:v>1.238290778500319</c:v>
                </c:pt>
                <c:pt idx="37">
                  <c:v>1.2417820550562177</c:v>
                </c:pt>
                <c:pt idx="38">
                  <c:v>1.2452264624621154</c:v>
                </c:pt>
                <c:pt idx="39">
                  <c:v>1.2486258391245935</c:v>
                </c:pt>
                <c:pt idx="40">
                  <c:v>1.2519819063198887</c:v>
                </c:pt>
                <c:pt idx="41">
                  <c:v>1.2552962783828443</c:v>
                </c:pt>
                <c:pt idx="42">
                  <c:v>1.2585704717838613</c:v>
                </c:pt>
                <c:pt idx="43">
                  <c:v>1.2618059132386807</c:v>
                </c:pt>
                <c:pt idx="44">
                  <c:v>1.2650039469740468</c:v>
                </c:pt>
                <c:pt idx="45">
                  <c:v>1.2681658412542129</c:v>
                </c:pt>
                <c:pt idx="46">
                  <c:v>1.2712927942581755</c:v>
                </c:pt>
                <c:pt idx="47">
                  <c:v>1.274385939384874</c:v>
                </c:pt>
                <c:pt idx="48">
                  <c:v>1.27744635005297</c:v>
                </c:pt>
                <c:pt idx="49">
                  <c:v>1.2804750440528412</c:v>
                </c:pt>
                <c:pt idx="50">
                  <c:v>1.2834729875008113</c:v>
                </c:pt>
                <c:pt idx="51">
                  <c:v>1.2864410984391688</c:v>
                </c:pt>
                <c:pt idx="52">
                  <c:v>1.289380250120002</c:v>
                </c:pt>
                <c:pt idx="53">
                  <c:v>1.2922912740061383</c:v>
                </c:pt>
                <c:pt idx="54">
                  <c:v>1.2951749625184206</c:v>
                </c:pt>
                <c:pt idx="55">
                  <c:v>1.2980320715550429</c:v>
                </c:pt>
                <c:pt idx="56">
                  <c:v>1.3008633228056423</c:v>
                </c:pt>
                <c:pt idx="57">
                  <c:v>1.3036694058802236</c:v>
                </c:pt>
                <c:pt idx="58">
                  <c:v>1.3064509802707058</c:v>
                </c:pt>
                <c:pt idx="59">
                  <c:v>1.3092086771609019</c:v>
                </c:pt>
                <c:pt idx="60">
                  <c:v>1.3119431010990055</c:v>
                </c:pt>
                <c:pt idx="61">
                  <c:v>1.3146548315451327</c:v>
                </c:pt>
                <c:pt idx="62">
                  <c:v>1.3173444243051509</c:v>
                </c:pt>
                <c:pt idx="63">
                  <c:v>1.3200124128608333</c:v>
                </c:pt>
                <c:pt idx="64">
                  <c:v>1.3226593096053636</c:v>
                </c:pt>
                <c:pt idx="65">
                  <c:v>1.3252856069922918</c:v>
                </c:pt>
                <c:pt idx="66">
                  <c:v>1.3278917786052382</c:v>
                </c:pt>
                <c:pt idx="67">
                  <c:v>1.3304782801549271</c:v>
                </c:pt>
                <c:pt idx="68">
                  <c:v>1.3330455504094931</c:v>
                </c:pt>
                <c:pt idx="69">
                  <c:v>1.3355940120634398</c:v>
                </c:pt>
                <c:pt idx="70">
                  <c:v>1.3381240725501231</c:v>
                </c:pt>
                <c:pt idx="71">
                  <c:v>1.3406361248021823</c:v>
                </c:pt>
                <c:pt idx="72">
                  <c:v>1.3431305479639364</c:v>
                </c:pt>
                <c:pt idx="73">
                  <c:v>1.3456077080594051</c:v>
                </c:pt>
                <c:pt idx="74">
                  <c:v>1.3480679586192836</c:v>
                </c:pt>
                <c:pt idx="75">
                  <c:v>1.3505116412699163</c:v>
                </c:pt>
                <c:pt idx="76">
                  <c:v>1.3529390862870425</c:v>
                </c:pt>
                <c:pt idx="77">
                  <c:v>1.3553506131168607</c:v>
                </c:pt>
                <c:pt idx="78">
                  <c:v>1.3577465308667334</c:v>
                </c:pt>
                <c:pt idx="79">
                  <c:v>1.3601271387676723</c:v>
                </c:pt>
                <c:pt idx="80">
                  <c:v>1.3624927266105555</c:v>
                </c:pt>
                <c:pt idx="81">
                  <c:v>1.3648435751578858</c:v>
                </c:pt>
                <c:pt idx="82">
                  <c:v>1.3671799565327376</c:v>
                </c:pt>
                <c:pt idx="83">
                  <c:v>1.3695021345864244</c:v>
                </c:pt>
                <c:pt idx="84">
                  <c:v>1.3718103652462883</c:v>
                </c:pt>
                <c:pt idx="85">
                  <c:v>1.3741048968449134</c:v>
                </c:pt>
                <c:pt idx="86">
                  <c:v>1.3763859704319583</c:v>
                </c:pt>
                <c:pt idx="87">
                  <c:v>1.3786538200697178</c:v>
                </c:pt>
                <c:pt idx="88">
                  <c:v>1.3809086731134395</c:v>
                </c:pt>
                <c:pt idx="89">
                  <c:v>1.3831507504773459</c:v>
                </c:pt>
                <c:pt idx="90">
                  <c:v>1.3853802668872406</c:v>
                </c:pt>
                <c:pt idx="91">
                  <c:v>1.3875974311205201</c:v>
                </c:pt>
                <c:pt idx="92">
                  <c:v>1.3898024462343477</c:v>
                </c:pt>
                <c:pt idx="93">
                  <c:v>1.3919955097826957</c:v>
                </c:pt>
                <c:pt idx="94">
                  <c:v>1.3941768140229129</c:v>
                </c:pt>
                <c:pt idx="95">
                  <c:v>1.3963465461124291</c:v>
                </c:pt>
                <c:pt idx="96">
                  <c:v>1.3985048882961657</c:v>
                </c:pt>
                <c:pt idx="97">
                  <c:v>1.4006520180851831</c:v>
                </c:pt>
                <c:pt idx="98">
                  <c:v>1.4205359217057536</c:v>
                </c:pt>
                <c:pt idx="99">
                  <c:v>1.4249782761600451</c:v>
                </c:pt>
                <c:pt idx="100">
                  <c:v>1.4294206306143367</c:v>
                </c:pt>
              </c:numCache>
            </c:numRef>
          </c:val>
          <c:smooth val="0"/>
        </c:ser>
        <c:dLbls>
          <c:showLegendKey val="0"/>
          <c:showVal val="0"/>
          <c:showCatName val="0"/>
          <c:showSerName val="0"/>
          <c:showPercent val="0"/>
          <c:showBubbleSize val="0"/>
        </c:dLbls>
        <c:marker val="1"/>
        <c:smooth val="0"/>
        <c:axId val="187345536"/>
        <c:axId val="187360000"/>
      </c:lineChart>
      <c:catAx>
        <c:axId val="187345536"/>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87360000"/>
        <c:crosses val="autoZero"/>
        <c:auto val="1"/>
        <c:lblAlgn val="ctr"/>
        <c:lblOffset val="100"/>
        <c:tickLblSkip val="20"/>
        <c:tickMarkSkip val="10"/>
        <c:noMultiLvlLbl val="0"/>
      </c:catAx>
      <c:valAx>
        <c:axId val="187360000"/>
        <c:scaling>
          <c:orientation val="minMax"/>
          <c:max val="2.2000000000000002"/>
          <c:min val="1"/>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87345536"/>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1.1000000000000001</c:v>
                </c:pt>
                <c:pt idx="2">
                  <c:v>2.2000000000000002</c:v>
                </c:pt>
                <c:pt idx="3">
                  <c:v>3.3</c:v>
                </c:pt>
                <c:pt idx="4">
                  <c:v>4.4000000000000004</c:v>
                </c:pt>
                <c:pt idx="5">
                  <c:v>5.5000000000000009</c:v>
                </c:pt>
                <c:pt idx="6">
                  <c:v>6.6</c:v>
                </c:pt>
                <c:pt idx="7">
                  <c:v>7.7000000000000011</c:v>
                </c:pt>
                <c:pt idx="8">
                  <c:v>8.8000000000000007</c:v>
                </c:pt>
                <c:pt idx="9">
                  <c:v>9.8999999999999986</c:v>
                </c:pt>
                <c:pt idx="10">
                  <c:v>11.000000000000002</c:v>
                </c:pt>
                <c:pt idx="11">
                  <c:v>12.1</c:v>
                </c:pt>
                <c:pt idx="12">
                  <c:v>13.2</c:v>
                </c:pt>
                <c:pt idx="13">
                  <c:v>14.3</c:v>
                </c:pt>
                <c:pt idx="14">
                  <c:v>15.400000000000002</c:v>
                </c:pt>
                <c:pt idx="15">
                  <c:v>16.5</c:v>
                </c:pt>
                <c:pt idx="16">
                  <c:v>17.600000000000001</c:v>
                </c:pt>
                <c:pt idx="17">
                  <c:v>18.700000000000003</c:v>
                </c:pt>
                <c:pt idx="18">
                  <c:v>19.799999999999997</c:v>
                </c:pt>
                <c:pt idx="19">
                  <c:v>20.900000000000002</c:v>
                </c:pt>
                <c:pt idx="20">
                  <c:v>22.000000000000004</c:v>
                </c:pt>
                <c:pt idx="21">
                  <c:v>23.099999999999998</c:v>
                </c:pt>
                <c:pt idx="22">
                  <c:v>24.2</c:v>
                </c:pt>
                <c:pt idx="23">
                  <c:v>25.3</c:v>
                </c:pt>
                <c:pt idx="24">
                  <c:v>26.4</c:v>
                </c:pt>
                <c:pt idx="25">
                  <c:v>27.5</c:v>
                </c:pt>
                <c:pt idx="26">
                  <c:v>28.6</c:v>
                </c:pt>
                <c:pt idx="27">
                  <c:v>29.7</c:v>
                </c:pt>
                <c:pt idx="28">
                  <c:v>30.800000000000004</c:v>
                </c:pt>
                <c:pt idx="29">
                  <c:v>31.9</c:v>
                </c:pt>
                <c:pt idx="30">
                  <c:v>33</c:v>
                </c:pt>
                <c:pt idx="31">
                  <c:v>34.1</c:v>
                </c:pt>
                <c:pt idx="32">
                  <c:v>35.200000000000003</c:v>
                </c:pt>
                <c:pt idx="33">
                  <c:v>36.299999999999997</c:v>
                </c:pt>
                <c:pt idx="34">
                  <c:v>37.400000000000006</c:v>
                </c:pt>
                <c:pt idx="35">
                  <c:v>38.5</c:v>
                </c:pt>
                <c:pt idx="36">
                  <c:v>39.599999999999994</c:v>
                </c:pt>
                <c:pt idx="37">
                  <c:v>40.700000000000003</c:v>
                </c:pt>
                <c:pt idx="38">
                  <c:v>41.800000000000004</c:v>
                </c:pt>
                <c:pt idx="39">
                  <c:v>42.9</c:v>
                </c:pt>
                <c:pt idx="40">
                  <c:v>44.000000000000007</c:v>
                </c:pt>
                <c:pt idx="41">
                  <c:v>45.099999999999994</c:v>
                </c:pt>
                <c:pt idx="42">
                  <c:v>46.199999999999996</c:v>
                </c:pt>
                <c:pt idx="43">
                  <c:v>47.300000000000004</c:v>
                </c:pt>
                <c:pt idx="44">
                  <c:v>48.4</c:v>
                </c:pt>
                <c:pt idx="45">
                  <c:v>49.5</c:v>
                </c:pt>
                <c:pt idx="46">
                  <c:v>50.6</c:v>
                </c:pt>
                <c:pt idx="47">
                  <c:v>51.699999999999996</c:v>
                </c:pt>
                <c:pt idx="48">
                  <c:v>52.8</c:v>
                </c:pt>
                <c:pt idx="49">
                  <c:v>53.9</c:v>
                </c:pt>
                <c:pt idx="50">
                  <c:v>55</c:v>
                </c:pt>
                <c:pt idx="51">
                  <c:v>56.1</c:v>
                </c:pt>
                <c:pt idx="52">
                  <c:v>57.2</c:v>
                </c:pt>
                <c:pt idx="53">
                  <c:v>58.300000000000004</c:v>
                </c:pt>
                <c:pt idx="54">
                  <c:v>59.4</c:v>
                </c:pt>
                <c:pt idx="55">
                  <c:v>60.500000000000007</c:v>
                </c:pt>
                <c:pt idx="56">
                  <c:v>61.600000000000009</c:v>
                </c:pt>
                <c:pt idx="57">
                  <c:v>62.699999999999989</c:v>
                </c:pt>
                <c:pt idx="58">
                  <c:v>63.8</c:v>
                </c:pt>
                <c:pt idx="59">
                  <c:v>64.900000000000006</c:v>
                </c:pt>
                <c:pt idx="60">
                  <c:v>66</c:v>
                </c:pt>
                <c:pt idx="61">
                  <c:v>67.099999999999994</c:v>
                </c:pt>
                <c:pt idx="62">
                  <c:v>68.2</c:v>
                </c:pt>
                <c:pt idx="63">
                  <c:v>69.3</c:v>
                </c:pt>
                <c:pt idx="64">
                  <c:v>70.400000000000006</c:v>
                </c:pt>
                <c:pt idx="65">
                  <c:v>71.500000000000014</c:v>
                </c:pt>
                <c:pt idx="66">
                  <c:v>72.599999999999994</c:v>
                </c:pt>
                <c:pt idx="67">
                  <c:v>73.7</c:v>
                </c:pt>
                <c:pt idx="68">
                  <c:v>74.800000000000011</c:v>
                </c:pt>
                <c:pt idx="69">
                  <c:v>75.899999999999991</c:v>
                </c:pt>
                <c:pt idx="70">
                  <c:v>77</c:v>
                </c:pt>
                <c:pt idx="71">
                  <c:v>78.100000000000009</c:v>
                </c:pt>
                <c:pt idx="72">
                  <c:v>79.199999999999989</c:v>
                </c:pt>
                <c:pt idx="73">
                  <c:v>80.3</c:v>
                </c:pt>
                <c:pt idx="74">
                  <c:v>81.400000000000006</c:v>
                </c:pt>
                <c:pt idx="75">
                  <c:v>82.5</c:v>
                </c:pt>
                <c:pt idx="76">
                  <c:v>83.600000000000009</c:v>
                </c:pt>
                <c:pt idx="77">
                  <c:v>84.7</c:v>
                </c:pt>
                <c:pt idx="78">
                  <c:v>85.8</c:v>
                </c:pt>
                <c:pt idx="79">
                  <c:v>86.9</c:v>
                </c:pt>
                <c:pt idx="80">
                  <c:v>88.000000000000014</c:v>
                </c:pt>
                <c:pt idx="81">
                  <c:v>89.100000000000009</c:v>
                </c:pt>
                <c:pt idx="82">
                  <c:v>90.199999999999989</c:v>
                </c:pt>
                <c:pt idx="83">
                  <c:v>91.3</c:v>
                </c:pt>
                <c:pt idx="84">
                  <c:v>92.399999999999991</c:v>
                </c:pt>
                <c:pt idx="85">
                  <c:v>93.5</c:v>
                </c:pt>
                <c:pt idx="86">
                  <c:v>94.600000000000009</c:v>
                </c:pt>
                <c:pt idx="87">
                  <c:v>95.699999999999989</c:v>
                </c:pt>
                <c:pt idx="88">
                  <c:v>96.8</c:v>
                </c:pt>
                <c:pt idx="89">
                  <c:v>97.9</c:v>
                </c:pt>
                <c:pt idx="90">
                  <c:v>99</c:v>
                </c:pt>
                <c:pt idx="91">
                  <c:v>100.10000000000001</c:v>
                </c:pt>
                <c:pt idx="92">
                  <c:v>101.2</c:v>
                </c:pt>
                <c:pt idx="93">
                  <c:v>102.3</c:v>
                </c:pt>
                <c:pt idx="94">
                  <c:v>103.39999999999999</c:v>
                </c:pt>
                <c:pt idx="95">
                  <c:v>104.5</c:v>
                </c:pt>
                <c:pt idx="96">
                  <c:v>105.6</c:v>
                </c:pt>
                <c:pt idx="97">
                  <c:v>106.7</c:v>
                </c:pt>
                <c:pt idx="98">
                  <c:v>107.8</c:v>
                </c:pt>
                <c:pt idx="99">
                  <c:v>108.89999999999999</c:v>
                </c:pt>
                <c:pt idx="100">
                  <c:v>110</c:v>
                </c:pt>
              </c:numCache>
            </c:numRef>
          </c:cat>
          <c:val>
            <c:numRef>
              <c:f>'Calculations - Single'!$CA$5:$CA$105</c:f>
              <c:numCache>
                <c:formatCode>0.00</c:formatCode>
                <c:ptCount val="101"/>
                <c:pt idx="0">
                  <c:v>2.1962695261492615E-4</c:v>
                </c:pt>
                <c:pt idx="1">
                  <c:v>68.927545104794476</c:v>
                </c:pt>
                <c:pt idx="2">
                  <c:v>78.200470268037222</c:v>
                </c:pt>
                <c:pt idx="3">
                  <c:v>81.864952192051206</c:v>
                </c:pt>
                <c:pt idx="4">
                  <c:v>83.822376352294128</c:v>
                </c:pt>
                <c:pt idx="5">
                  <c:v>85.036063964193048</c:v>
                </c:pt>
                <c:pt idx="6">
                  <c:v>85.858882701431099</c:v>
                </c:pt>
                <c:pt idx="7">
                  <c:v>86.450701795106426</c:v>
                </c:pt>
                <c:pt idx="8">
                  <c:v>86.894487217984093</c:v>
                </c:pt>
                <c:pt idx="9">
                  <c:v>87.237590675650338</c:v>
                </c:pt>
                <c:pt idx="10">
                  <c:v>87.509014865500802</c:v>
                </c:pt>
                <c:pt idx="11">
                  <c:v>87.727521533089842</c:v>
                </c:pt>
                <c:pt idx="12">
                  <c:v>87.905788646087217</c:v>
                </c:pt>
                <c:pt idx="13">
                  <c:v>88.052694152608098</c:v>
                </c:pt>
                <c:pt idx="14">
                  <c:v>88.174642548684815</c:v>
                </c:pt>
                <c:pt idx="15">
                  <c:v>88.276371795011315</c:v>
                </c:pt>
                <c:pt idx="16">
                  <c:v>88.361463547929674</c:v>
                </c:pt>
                <c:pt idx="17">
                  <c:v>88.432676643722559</c:v>
                </c:pt>
                <c:pt idx="18">
                  <c:v>88.492171382788257</c:v>
                </c:pt>
                <c:pt idx="19">
                  <c:v>88.541664182958783</c:v>
                </c:pt>
                <c:pt idx="20">
                  <c:v>88.582536589346091</c:v>
                </c:pt>
                <c:pt idx="21">
                  <c:v>88.615913625743374</c:v>
                </c:pt>
                <c:pt idx="22">
                  <c:v>88.642721101074983</c:v>
                </c:pt>
                <c:pt idx="23">
                  <c:v>88.6637281863091</c:v>
                </c:pt>
                <c:pt idx="24">
                  <c:v>88.67957949985103</c:v>
                </c:pt>
                <c:pt idx="25">
                  <c:v>88.627534123809497</c:v>
                </c:pt>
                <c:pt idx="26">
                  <c:v>88.485023808467645</c:v>
                </c:pt>
                <c:pt idx="27">
                  <c:v>88.660601609434735</c:v>
                </c:pt>
                <c:pt idx="28">
                  <c:v>88.824536573471363</c:v>
                </c:pt>
                <c:pt idx="29">
                  <c:v>88.977937380727411</c:v>
                </c:pt>
                <c:pt idx="30">
                  <c:v>89.121775044233559</c:v>
                </c:pt>
                <c:pt idx="31">
                  <c:v>89.256903761489937</c:v>
                </c:pt>
                <c:pt idx="32">
                  <c:v>89.384078072403994</c:v>
                </c:pt>
                <c:pt idx="33">
                  <c:v>89.503967067177257</c:v>
                </c:pt>
                <c:pt idx="34">
                  <c:v>89.617166221084872</c:v>
                </c:pt>
                <c:pt idx="35">
                  <c:v>89.724207307375551</c:v>
                </c:pt>
                <c:pt idx="36">
                  <c:v>89.825566743854267</c:v>
                </c:pt>
                <c:pt idx="37">
                  <c:v>89.92167265530739</c:v>
                </c:pt>
                <c:pt idx="38">
                  <c:v>90.012910877175102</c:v>
                </c:pt>
                <c:pt idx="39">
                  <c:v>90.099630081668437</c:v>
                </c:pt>
                <c:pt idx="40">
                  <c:v>90.182146172857841</c:v>
                </c:pt>
                <c:pt idx="41">
                  <c:v>90.260746069890459</c:v>
                </c:pt>
                <c:pt idx="42">
                  <c:v>90.335690975753295</c:v>
                </c:pt>
                <c:pt idx="43">
                  <c:v>90.407219211629467</c:v>
                </c:pt>
                <c:pt idx="44">
                  <c:v>90.475548682939106</c:v>
                </c:pt>
                <c:pt idx="45">
                  <c:v>90.540879031883676</c:v>
                </c:pt>
                <c:pt idx="46">
                  <c:v>90.603393522162008</c:v>
                </c:pt>
                <c:pt idx="47">
                  <c:v>90.663260694061336</c:v>
                </c:pt>
                <c:pt idx="48">
                  <c:v>90.720635822009115</c:v>
                </c:pt>
                <c:pt idx="49">
                  <c:v>90.775662201637303</c:v>
                </c:pt>
                <c:pt idx="50">
                  <c:v>90.828472289248012</c:v>
                </c:pt>
                <c:pt idx="51">
                  <c:v>90.879188713116278</c:v>
                </c:pt>
                <c:pt idx="52">
                  <c:v>90.927925173188072</c:v>
                </c:pt>
                <c:pt idx="53">
                  <c:v>90.974787243325864</c:v>
                </c:pt>
                <c:pt idx="54">
                  <c:v>91.019873088234732</c:v>
                </c:pt>
                <c:pt idx="55">
                  <c:v>91.063274105502245</c:v>
                </c:pt>
                <c:pt idx="56">
                  <c:v>91.105075501748615</c:v>
                </c:pt>
                <c:pt idx="57">
                  <c:v>91.145356810667039</c:v>
                </c:pt>
                <c:pt idx="58">
                  <c:v>91.184192359698912</c:v>
                </c:pt>
                <c:pt idx="59">
                  <c:v>91.22165169120666</c:v>
                </c:pt>
                <c:pt idx="60">
                  <c:v>91.257799943252735</c:v>
                </c:pt>
                <c:pt idx="61">
                  <c:v>91.292698194446913</c:v>
                </c:pt>
                <c:pt idx="62">
                  <c:v>91.326403776767691</c:v>
                </c:pt>
                <c:pt idx="63">
                  <c:v>91.358970559785263</c:v>
                </c:pt>
                <c:pt idx="64">
                  <c:v>91.390449209299376</c:v>
                </c:pt>
                <c:pt idx="65">
                  <c:v>91.420887423047063</c:v>
                </c:pt>
                <c:pt idx="66">
                  <c:v>91.450330145824523</c:v>
                </c:pt>
                <c:pt idx="67">
                  <c:v>91.478819766096578</c:v>
                </c:pt>
                <c:pt idx="68">
                  <c:v>91.506396295931395</c:v>
                </c:pt>
                <c:pt idx="69">
                  <c:v>91.533097535892253</c:v>
                </c:pt>
                <c:pt idx="70">
                  <c:v>91.558959226337549</c:v>
                </c:pt>
                <c:pt idx="71">
                  <c:v>91.635630098700801</c:v>
                </c:pt>
                <c:pt idx="72">
                  <c:v>91.757327422889006</c:v>
                </c:pt>
                <c:pt idx="73">
                  <c:v>91.874847333617751</c:v>
                </c:pt>
                <c:pt idx="74">
                  <c:v>91.805142630403779</c:v>
                </c:pt>
                <c:pt idx="75">
                  <c:v>91.85195971431493</c:v>
                </c:pt>
                <c:pt idx="76">
                  <c:v>91.896599167163274</c:v>
                </c:pt>
                <c:pt idx="77">
                  <c:v>91.939155721522383</c:v>
                </c:pt>
                <c:pt idx="78">
                  <c:v>91.979718822110428</c:v>
                </c:pt>
                <c:pt idx="79">
                  <c:v>92.018372982136924</c:v>
                </c:pt>
                <c:pt idx="80">
                  <c:v>92.055198111671274</c:v>
                </c:pt>
                <c:pt idx="81">
                  <c:v>92.090269820527865</c:v>
                </c:pt>
                <c:pt idx="82">
                  <c:v>92.123659697914846</c:v>
                </c:pt>
                <c:pt idx="83">
                  <c:v>92.15543557087274</c:v>
                </c:pt>
                <c:pt idx="84">
                  <c:v>92.185661743331664</c:v>
                </c:pt>
                <c:pt idx="85">
                  <c:v>92.214399217440317</c:v>
                </c:pt>
                <c:pt idx="86">
                  <c:v>92.241705898662332</c:v>
                </c:pt>
                <c:pt idx="87">
                  <c:v>92.267636785994682</c:v>
                </c:pt>
                <c:pt idx="88">
                  <c:v>92.292244148536511</c:v>
                </c:pt>
                <c:pt idx="89">
                  <c:v>92.315577689523778</c:v>
                </c:pt>
                <c:pt idx="90">
                  <c:v>92.337684698842878</c:v>
                </c:pt>
                <c:pt idx="91">
                  <c:v>92.358610194945157</c:v>
                </c:pt>
                <c:pt idx="92">
                  <c:v>92.378397057001322</c:v>
                </c:pt>
                <c:pt idx="93">
                  <c:v>92.397086148061263</c:v>
                </c:pt>
                <c:pt idx="94">
                  <c:v>92.414716429916822</c:v>
                </c:pt>
                <c:pt idx="95">
                  <c:v>92.431325070304879</c:v>
                </c:pt>
                <c:pt idx="96">
                  <c:v>92.446947543033673</c:v>
                </c:pt>
                <c:pt idx="97">
                  <c:v>92.461617721564821</c:v>
                </c:pt>
                <c:pt idx="98">
                  <c:v>92.47536796653948</c:v>
                </c:pt>
                <c:pt idx="99">
                  <c:v>92.488229207695696</c:v>
                </c:pt>
                <c:pt idx="100">
                  <c:v>92.500231020587407</c:v>
                </c:pt>
              </c:numCache>
            </c:numRef>
          </c:val>
          <c:smooth val="0"/>
        </c:ser>
        <c:dLbls>
          <c:showLegendKey val="0"/>
          <c:showVal val="0"/>
          <c:showCatName val="0"/>
          <c:showSerName val="0"/>
          <c:showPercent val="0"/>
          <c:showBubbleSize val="0"/>
        </c:dLbls>
        <c:marker val="1"/>
        <c:smooth val="0"/>
        <c:axId val="187400576"/>
        <c:axId val="187402496"/>
      </c:lineChart>
      <c:lineChart>
        <c:grouping val="standard"/>
        <c:varyColors val="0"/>
        <c:ser>
          <c:idx val="2"/>
          <c:order val="1"/>
          <c:tx>
            <c:strRef>
              <c:f>'Calculations - Single'!$BN$3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Single'!$BQ$5:$BQ$105</c:f>
              <c:numCache>
                <c:formatCode>0.0</c:formatCode>
                <c:ptCount val="101"/>
                <c:pt idx="0">
                  <c:v>2.9999999999999999E-7</c:v>
                </c:pt>
                <c:pt idx="1">
                  <c:v>0.33</c:v>
                </c:pt>
                <c:pt idx="2">
                  <c:v>0.66</c:v>
                </c:pt>
                <c:pt idx="3">
                  <c:v>0.99</c:v>
                </c:pt>
                <c:pt idx="4">
                  <c:v>1.32</c:v>
                </c:pt>
                <c:pt idx="5">
                  <c:v>1.6500000000000001</c:v>
                </c:pt>
                <c:pt idx="6">
                  <c:v>1.98</c:v>
                </c:pt>
                <c:pt idx="7">
                  <c:v>2.3100000000000005</c:v>
                </c:pt>
                <c:pt idx="8">
                  <c:v>2.64</c:v>
                </c:pt>
                <c:pt idx="9">
                  <c:v>2.9699999999999998</c:v>
                </c:pt>
                <c:pt idx="10">
                  <c:v>3.3000000000000003</c:v>
                </c:pt>
                <c:pt idx="11">
                  <c:v>3.6299999999999994</c:v>
                </c:pt>
                <c:pt idx="12">
                  <c:v>3.96</c:v>
                </c:pt>
                <c:pt idx="13">
                  <c:v>4.2899999999999991</c:v>
                </c:pt>
                <c:pt idx="14">
                  <c:v>4.620000000000001</c:v>
                </c:pt>
                <c:pt idx="15">
                  <c:v>4.95</c:v>
                </c:pt>
                <c:pt idx="16">
                  <c:v>5.28</c:v>
                </c:pt>
                <c:pt idx="17">
                  <c:v>5.61</c:v>
                </c:pt>
                <c:pt idx="18">
                  <c:v>5.9399999999999995</c:v>
                </c:pt>
                <c:pt idx="19">
                  <c:v>6.2700000000000005</c:v>
                </c:pt>
                <c:pt idx="20">
                  <c:v>6.6000000000000005</c:v>
                </c:pt>
                <c:pt idx="21">
                  <c:v>6.93</c:v>
                </c:pt>
                <c:pt idx="22">
                  <c:v>7.2599999999999989</c:v>
                </c:pt>
                <c:pt idx="23">
                  <c:v>7.59</c:v>
                </c:pt>
                <c:pt idx="24">
                  <c:v>7.92</c:v>
                </c:pt>
                <c:pt idx="25">
                  <c:v>8.25</c:v>
                </c:pt>
                <c:pt idx="26">
                  <c:v>8.5799999999999983</c:v>
                </c:pt>
                <c:pt idx="27">
                  <c:v>8.91</c:v>
                </c:pt>
                <c:pt idx="28">
                  <c:v>9.240000000000002</c:v>
                </c:pt>
                <c:pt idx="29">
                  <c:v>9.5699999999999985</c:v>
                </c:pt>
                <c:pt idx="30">
                  <c:v>9.9</c:v>
                </c:pt>
                <c:pt idx="31">
                  <c:v>10.229999999999999</c:v>
                </c:pt>
                <c:pt idx="32">
                  <c:v>10.56</c:v>
                </c:pt>
                <c:pt idx="33">
                  <c:v>10.889999999999999</c:v>
                </c:pt>
                <c:pt idx="34">
                  <c:v>11.22</c:v>
                </c:pt>
                <c:pt idx="35">
                  <c:v>11.549999999999999</c:v>
                </c:pt>
                <c:pt idx="36">
                  <c:v>11.879999999999999</c:v>
                </c:pt>
                <c:pt idx="37">
                  <c:v>12.21</c:v>
                </c:pt>
                <c:pt idx="38">
                  <c:v>12.540000000000001</c:v>
                </c:pt>
                <c:pt idx="39">
                  <c:v>12.87</c:v>
                </c:pt>
                <c:pt idx="40">
                  <c:v>13.200000000000001</c:v>
                </c:pt>
                <c:pt idx="41">
                  <c:v>13.53</c:v>
                </c:pt>
                <c:pt idx="42">
                  <c:v>13.86</c:v>
                </c:pt>
                <c:pt idx="43">
                  <c:v>14.19</c:v>
                </c:pt>
                <c:pt idx="44">
                  <c:v>14.519999999999998</c:v>
                </c:pt>
                <c:pt idx="45">
                  <c:v>14.85</c:v>
                </c:pt>
                <c:pt idx="46">
                  <c:v>15.18</c:v>
                </c:pt>
                <c:pt idx="47">
                  <c:v>15.509999999999998</c:v>
                </c:pt>
                <c:pt idx="48">
                  <c:v>15.84</c:v>
                </c:pt>
                <c:pt idx="49">
                  <c:v>16.169999999999998</c:v>
                </c:pt>
                <c:pt idx="50">
                  <c:v>16.5</c:v>
                </c:pt>
                <c:pt idx="51">
                  <c:v>16.830000000000002</c:v>
                </c:pt>
                <c:pt idx="52">
                  <c:v>17.159999999999997</c:v>
                </c:pt>
                <c:pt idx="53">
                  <c:v>17.490000000000002</c:v>
                </c:pt>
                <c:pt idx="54">
                  <c:v>17.82</c:v>
                </c:pt>
                <c:pt idx="55">
                  <c:v>18.149999999999999</c:v>
                </c:pt>
                <c:pt idx="56">
                  <c:v>18.480000000000004</c:v>
                </c:pt>
                <c:pt idx="57">
                  <c:v>18.809999999999995</c:v>
                </c:pt>
                <c:pt idx="58">
                  <c:v>19.139999999999997</c:v>
                </c:pt>
                <c:pt idx="59">
                  <c:v>19.47</c:v>
                </c:pt>
                <c:pt idx="60">
                  <c:v>19.8</c:v>
                </c:pt>
                <c:pt idx="61">
                  <c:v>20.13</c:v>
                </c:pt>
                <c:pt idx="62">
                  <c:v>20.459999999999997</c:v>
                </c:pt>
                <c:pt idx="63">
                  <c:v>20.79</c:v>
                </c:pt>
                <c:pt idx="64">
                  <c:v>21.12</c:v>
                </c:pt>
                <c:pt idx="65">
                  <c:v>21.45</c:v>
                </c:pt>
                <c:pt idx="66">
                  <c:v>21.779999999999998</c:v>
                </c:pt>
                <c:pt idx="67">
                  <c:v>22.11</c:v>
                </c:pt>
                <c:pt idx="68">
                  <c:v>22.44</c:v>
                </c:pt>
                <c:pt idx="69">
                  <c:v>22.77</c:v>
                </c:pt>
                <c:pt idx="70">
                  <c:v>23.099999999999998</c:v>
                </c:pt>
                <c:pt idx="71">
                  <c:v>23.43</c:v>
                </c:pt>
                <c:pt idx="72">
                  <c:v>23.759999999999998</c:v>
                </c:pt>
                <c:pt idx="73">
                  <c:v>24.089999999999996</c:v>
                </c:pt>
                <c:pt idx="74">
                  <c:v>24.42</c:v>
                </c:pt>
                <c:pt idx="75">
                  <c:v>24.75</c:v>
                </c:pt>
                <c:pt idx="76">
                  <c:v>25.080000000000002</c:v>
                </c:pt>
                <c:pt idx="77">
                  <c:v>25.41</c:v>
                </c:pt>
                <c:pt idx="78">
                  <c:v>25.74</c:v>
                </c:pt>
                <c:pt idx="79">
                  <c:v>26.07</c:v>
                </c:pt>
                <c:pt idx="80">
                  <c:v>26.400000000000002</c:v>
                </c:pt>
                <c:pt idx="81">
                  <c:v>26.730000000000004</c:v>
                </c:pt>
                <c:pt idx="82">
                  <c:v>27.06</c:v>
                </c:pt>
                <c:pt idx="83">
                  <c:v>27.389999999999997</c:v>
                </c:pt>
                <c:pt idx="84">
                  <c:v>27.72</c:v>
                </c:pt>
                <c:pt idx="85">
                  <c:v>28.049999999999997</c:v>
                </c:pt>
                <c:pt idx="86">
                  <c:v>28.38</c:v>
                </c:pt>
                <c:pt idx="87">
                  <c:v>28.709999999999997</c:v>
                </c:pt>
                <c:pt idx="88">
                  <c:v>29.039999999999996</c:v>
                </c:pt>
                <c:pt idx="89">
                  <c:v>29.37</c:v>
                </c:pt>
                <c:pt idx="90">
                  <c:v>29.7</c:v>
                </c:pt>
                <c:pt idx="91">
                  <c:v>30.03</c:v>
                </c:pt>
                <c:pt idx="92">
                  <c:v>30.36</c:v>
                </c:pt>
                <c:pt idx="93">
                  <c:v>30.689999999999998</c:v>
                </c:pt>
                <c:pt idx="94">
                  <c:v>31.019999999999996</c:v>
                </c:pt>
                <c:pt idx="95">
                  <c:v>31.349999999999994</c:v>
                </c:pt>
                <c:pt idx="96">
                  <c:v>31.68</c:v>
                </c:pt>
                <c:pt idx="97">
                  <c:v>32.01</c:v>
                </c:pt>
                <c:pt idx="98">
                  <c:v>32.339999999999996</c:v>
                </c:pt>
                <c:pt idx="99">
                  <c:v>32.669999999999995</c:v>
                </c:pt>
                <c:pt idx="100">
                  <c:v>33</c:v>
                </c:pt>
              </c:numCache>
            </c:numRef>
          </c:val>
          <c:smooth val="0"/>
        </c:ser>
        <c:ser>
          <c:idx val="3"/>
          <c:order val="2"/>
          <c:tx>
            <c:strRef>
              <c:f>'Calculations - Single'!$BG$3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Single'!$BM$5:$BM$105</c:f>
              <c:numCache>
                <c:formatCode>0.0</c:formatCode>
                <c:ptCount val="101"/>
                <c:pt idx="0">
                  <c:v>5.1621122676298157</c:v>
                </c:pt>
                <c:pt idx="1">
                  <c:v>5.7503949558041132</c:v>
                </c:pt>
                <c:pt idx="2">
                  <c:v>8.021026600505321</c:v>
                </c:pt>
                <c:pt idx="3">
                  <c:v>10.291894971117818</c:v>
                </c:pt>
                <c:pt idx="4">
                  <c:v>12.563000104663505</c:v>
                </c:pt>
                <c:pt idx="5">
                  <c:v>14.834342038172018</c:v>
                </c:pt>
                <c:pt idx="6">
                  <c:v>17.105920808680708</c:v>
                </c:pt>
                <c:pt idx="7">
                  <c:v>19.37773645323465</c:v>
                </c:pt>
                <c:pt idx="8">
                  <c:v>21.649789008886636</c:v>
                </c:pt>
                <c:pt idx="9">
                  <c:v>23.922078512697215</c:v>
                </c:pt>
                <c:pt idx="10">
                  <c:v>26.194605001734637</c:v>
                </c:pt>
                <c:pt idx="11">
                  <c:v>28.467368513074895</c:v>
                </c:pt>
                <c:pt idx="12">
                  <c:v>30.740369083801721</c:v>
                </c:pt>
                <c:pt idx="13">
                  <c:v>33.013606751006563</c:v>
                </c:pt>
                <c:pt idx="14">
                  <c:v>35.287081551788646</c:v>
                </c:pt>
                <c:pt idx="15">
                  <c:v>37.560793523254887</c:v>
                </c:pt>
                <c:pt idx="16">
                  <c:v>39.834742702520003</c:v>
                </c:pt>
                <c:pt idx="17">
                  <c:v>42.108929126706414</c:v>
                </c:pt>
                <c:pt idx="18">
                  <c:v>44.383352832944261</c:v>
                </c:pt>
                <c:pt idx="19">
                  <c:v>46.658013858371518</c:v>
                </c:pt>
                <c:pt idx="20">
                  <c:v>48.932912240133838</c:v>
                </c:pt>
                <c:pt idx="21">
                  <c:v>51.208048015384641</c:v>
                </c:pt>
                <c:pt idx="22">
                  <c:v>53.483421221285127</c:v>
                </c:pt>
                <c:pt idx="23">
                  <c:v>55.75903189500422</c:v>
                </c:pt>
                <c:pt idx="24">
                  <c:v>58.034880073718632</c:v>
                </c:pt>
                <c:pt idx="25">
                  <c:v>60.593405911680215</c:v>
                </c:pt>
                <c:pt idx="26">
                  <c:v>63.522955927094451</c:v>
                </c:pt>
                <c:pt idx="27">
                  <c:v>64.315971691654141</c:v>
                </c:pt>
                <c:pt idx="28">
                  <c:v>65.103911726348969</c:v>
                </c:pt>
                <c:pt idx="29">
                  <c:v>65.887220835001003</c:v>
                </c:pt>
                <c:pt idx="30">
                  <c:v>66.666303180315367</c:v>
                </c:pt>
                <c:pt idx="31">
                  <c:v>67.441527128205024</c:v>
                </c:pt>
                <c:pt idx="32">
                  <c:v>68.213229382890688</c:v>
                </c:pt>
                <c:pt idx="33">
                  <c:v>68.981718535040258</c:v>
                </c:pt>
                <c:pt idx="34">
                  <c:v>69.74727812112512</c:v>
                </c:pt>
                <c:pt idx="35">
                  <c:v>70.510169273389295</c:v>
                </c:pt>
                <c:pt idx="36">
                  <c:v>71.270633025066303</c:v>
                </c:pt>
                <c:pt idx="37">
                  <c:v>72.028892323791524</c:v>
                </c:pt>
                <c:pt idx="38">
                  <c:v>72.785153796837889</c:v>
                </c:pt>
                <c:pt idx="39">
                  <c:v>73.539609304323633</c:v>
                </c:pt>
                <c:pt idx="40">
                  <c:v>74.292437310499309</c:v>
                </c:pt>
                <c:pt idx="41">
                  <c:v>75.043804098313686</c:v>
                </c:pt>
                <c:pt idx="42">
                  <c:v>75.793864848449317</c:v>
                </c:pt>
                <c:pt idx="43">
                  <c:v>76.542764600726258</c:v>
                </c:pt>
                <c:pt idx="44">
                  <c:v>77.290639113055192</c:v>
                </c:pt>
                <c:pt idx="45">
                  <c:v>78.037615630868373</c:v>
                </c:pt>
                <c:pt idx="46">
                  <c:v>78.783813578079474</c:v>
                </c:pt>
                <c:pt idx="47">
                  <c:v>79.529345179054317</c:v>
                </c:pt>
                <c:pt idx="48">
                  <c:v>80.274316019754409</c:v>
                </c:pt>
                <c:pt idx="49">
                  <c:v>81.018825555104115</c:v>
                </c:pt>
                <c:pt idx="50">
                  <c:v>81.762967568690684</c:v>
                </c:pt>
                <c:pt idx="51">
                  <c:v>82.506830590106119</c:v>
                </c:pt>
                <c:pt idx="52">
                  <c:v>83.25049827455905</c:v>
                </c:pt>
                <c:pt idx="53">
                  <c:v>83.994049748801856</c:v>
                </c:pt>
                <c:pt idx="54">
                  <c:v>84.737559926917271</c:v>
                </c:pt>
                <c:pt idx="55">
                  <c:v>85.481099799080013</c:v>
                </c:pt>
                <c:pt idx="56">
                  <c:v>86.224736696036118</c:v>
                </c:pt>
                <c:pt idx="57">
                  <c:v>86.968534531722554</c:v>
                </c:pt>
                <c:pt idx="58">
                  <c:v>87.712554026170352</c:v>
                </c:pt>
                <c:pt idx="59">
                  <c:v>88.456852910591707</c:v>
                </c:pt>
                <c:pt idx="60">
                  <c:v>89.201486116340632</c:v>
                </c:pt>
                <c:pt idx="61">
                  <c:v>89.946505949251616</c:v>
                </c:pt>
                <c:pt idx="62">
                  <c:v>90.691962250697983</c:v>
                </c:pt>
                <c:pt idx="63">
                  <c:v>91.437902546570683</c:v>
                </c:pt>
                <c:pt idx="64">
                  <c:v>92.18437218525176</c:v>
                </c:pt>
                <c:pt idx="65">
                  <c:v>92.93141446554732</c:v>
                </c:pt>
                <c:pt idx="66">
                  <c:v>93.679070755446091</c:v>
                </c:pt>
                <c:pt idx="67">
                  <c:v>94.427380602484504</c:v>
                </c:pt>
                <c:pt idx="68">
                  <c:v>95.176381836421541</c:v>
                </c:pt>
                <c:pt idx="69">
                  <c:v>95.926110664858911</c:v>
                </c:pt>
                <c:pt idx="70">
                  <c:v>96.676601762381353</c:v>
                </c:pt>
                <c:pt idx="71">
                  <c:v>96.741290678631941</c:v>
                </c:pt>
                <c:pt idx="72">
                  <c:v>96.173457851255421</c:v>
                </c:pt>
                <c:pt idx="73">
                  <c:v>95.621751568082288</c:v>
                </c:pt>
                <c:pt idx="74">
                  <c:v>97.163025076517229</c:v>
                </c:pt>
                <c:pt idx="75">
                  <c:v>97.393286734893152</c:v>
                </c:pt>
                <c:pt idx="76">
                  <c:v>97.64064835270122</c:v>
                </c:pt>
                <c:pt idx="77">
                  <c:v>97.9047628258337</c:v>
                </c:pt>
                <c:pt idx="78">
                  <c:v>98.185301459414106</c:v>
                </c:pt>
                <c:pt idx="79">
                  <c:v>98.481952811403005</c:v>
                </c:pt>
                <c:pt idx="80">
                  <c:v>98.794421622967178</c:v>
                </c:pt>
                <c:pt idx="81">
                  <c:v>99.122427828114979</c:v>
                </c:pt>
                <c:pt idx="82">
                  <c:v>99.465705635831824</c:v>
                </c:pt>
                <c:pt idx="83">
                  <c:v>99.824002678601261</c:v>
                </c:pt>
                <c:pt idx="84">
                  <c:v>100.1970792217809</c:v>
                </c:pt>
                <c:pt idx="85">
                  <c:v>100.58470742882129</c:v>
                </c:pt>
                <c:pt idx="86">
                  <c:v>100.98667067778341</c:v>
                </c:pt>
                <c:pt idx="87">
                  <c:v>101.40276292502747</c:v>
                </c:pt>
                <c:pt idx="88">
                  <c:v>101.83278811232199</c:v>
                </c:pt>
                <c:pt idx="89">
                  <c:v>102.27655961395708</c:v>
                </c:pt>
                <c:pt idx="90">
                  <c:v>102.7338997207529</c:v>
                </c:pt>
                <c:pt idx="91">
                  <c:v>103.20463915812388</c:v>
                </c:pt>
                <c:pt idx="92">
                  <c:v>103.68861663560958</c:v>
                </c:pt>
                <c:pt idx="93">
                  <c:v>104.18567842550276</c:v>
                </c:pt>
                <c:pt idx="94">
                  <c:v>104.69567796840957</c:v>
                </c:pt>
                <c:pt idx="95">
                  <c:v>105.21847550375728</c:v>
                </c:pt>
                <c:pt idx="96">
                  <c:v>105.75393772343064</c:v>
                </c:pt>
                <c:pt idx="97">
                  <c:v>106.30193744686923</c:v>
                </c:pt>
                <c:pt idx="98">
                  <c:v>106.86235331609214</c:v>
                </c:pt>
                <c:pt idx="99">
                  <c:v>107.43506950924274</c:v>
                </c:pt>
                <c:pt idx="100">
                  <c:v>108.01997547135635</c:v>
                </c:pt>
              </c:numCache>
            </c:numRef>
          </c:val>
          <c:smooth val="0"/>
        </c:ser>
        <c:ser>
          <c:idx val="1"/>
          <c:order val="3"/>
          <c:tx>
            <c:strRef>
              <c:f>'Calculations - Single'!$BR$3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Single'!$BW$5:$BW$105</c:f>
              <c:numCache>
                <c:formatCode>0.0</c:formatCode>
                <c:ptCount val="101"/>
                <c:pt idx="0">
                  <c:v>5.7654839790520906</c:v>
                </c:pt>
                <c:pt idx="1">
                  <c:v>5.8206934695308865</c:v>
                </c:pt>
                <c:pt idx="2">
                  <c:v>6.0377489503635537</c:v>
                </c:pt>
                <c:pt idx="3">
                  <c:v>6.2628020931406896</c:v>
                </c:pt>
                <c:pt idx="4">
                  <c:v>6.4976802284464448</c:v>
                </c:pt>
                <c:pt idx="5">
                  <c:v>6.7439150641116701</c:v>
                </c:pt>
                <c:pt idx="6">
                  <c:v>7.0028531144858785</c:v>
                </c:pt>
                <c:pt idx="7">
                  <c:v>7.2757104161587112</c:v>
                </c:pt>
                <c:pt idx="8">
                  <c:v>7.563604551262074</c:v>
                </c:pt>
                <c:pt idx="9">
                  <c:v>7.8675753472972243</c:v>
                </c:pt>
                <c:pt idx="10">
                  <c:v>8.1885991867269681</c:v>
                </c:pt>
                <c:pt idx="11">
                  <c:v>8.5275993933355601</c:v>
                </c:pt>
                <c:pt idx="12">
                  <c:v>8.8854540563005688</c:v>
                </c:pt>
                <c:pt idx="13">
                  <c:v>9.2630020993536295</c:v>
                </c:pt>
                <c:pt idx="14">
                  <c:v>9.6610481017325363</c:v>
                </c:pt>
                <c:pt idx="15">
                  <c:v>10.080366203564413</c:v>
                </c:pt>
                <c:pt idx="16">
                  <c:v>10.521703322254927</c:v>
                </c:pt>
                <c:pt idx="17">
                  <c:v>10.985781839043064</c:v>
                </c:pt>
                <c:pt idx="18">
                  <c:v>11.473301870486928</c:v>
                </c:pt>
                <c:pt idx="19">
                  <c:v>11.984943209517734</c:v>
                </c:pt>
                <c:pt idx="20">
                  <c:v>12.521366999712439</c:v>
                </c:pt>
                <c:pt idx="21">
                  <c:v>13.083217191482259</c:v>
                </c:pt>
                <c:pt idx="22">
                  <c:v>13.671121818004037</c:v>
                </c:pt>
                <c:pt idx="23">
                  <c:v>14.285694120678995</c:v>
                </c:pt>
                <c:pt idx="24">
                  <c:v>14.927533547857301</c:v>
                </c:pt>
                <c:pt idx="25">
                  <c:v>15.846160964911018</c:v>
                </c:pt>
                <c:pt idx="26">
                  <c:v>17.221534451936709</c:v>
                </c:pt>
                <c:pt idx="27">
                  <c:v>17.938796266956214</c:v>
                </c:pt>
                <c:pt idx="28">
                  <c:v>18.658572537185115</c:v>
                </c:pt>
                <c:pt idx="29">
                  <c:v>19.380796202949281</c:v>
                </c:pt>
                <c:pt idx="30">
                  <c:v>20.105404274915337</c:v>
                </c:pt>
                <c:pt idx="31">
                  <c:v>20.832337459018394</c:v>
                </c:pt>
                <c:pt idx="32">
                  <c:v>21.561539826995585</c:v>
                </c:pt>
                <c:pt idx="33">
                  <c:v>22.292958525720838</c:v>
                </c:pt>
                <c:pt idx="34">
                  <c:v>23.026543519728328</c:v>
                </c:pt>
                <c:pt idx="35">
                  <c:v>23.7622473622658</c:v>
                </c:pt>
                <c:pt idx="36">
                  <c:v>24.500024990987864</c:v>
                </c:pt>
                <c:pt idx="37">
                  <c:v>25.239833545023806</c:v>
                </c:pt>
                <c:pt idx="38">
                  <c:v>25.981632200664073</c:v>
                </c:pt>
                <c:pt idx="39">
                  <c:v>26.725382023328052</c:v>
                </c:pt>
                <c:pt idx="40">
                  <c:v>27.471045833822632</c:v>
                </c:pt>
                <c:pt idx="41">
                  <c:v>28.218588087187268</c:v>
                </c:pt>
                <c:pt idx="42">
                  <c:v>28.967974762662244</c:v>
                </c:pt>
                <c:pt idx="43">
                  <c:v>29.719173263517135</c:v>
                </c:pt>
                <c:pt idx="44">
                  <c:v>30.472152325646469</c:v>
                </c:pt>
                <c:pt idx="45">
                  <c:v>31.226881933982806</c:v>
                </c:pt>
                <c:pt idx="46">
                  <c:v>31.98333324589909</c:v>
                </c:pt>
                <c:pt idx="47">
                  <c:v>32.74147852087625</c:v>
                </c:pt>
                <c:pt idx="48">
                  <c:v>33.501291055800685</c:v>
                </c:pt>
                <c:pt idx="49">
                  <c:v>34.262745125332856</c:v>
                </c:pt>
                <c:pt idx="50">
                  <c:v>35.025815926853667</c:v>
                </c:pt>
                <c:pt idx="51">
                  <c:v>35.79047952955262</c:v>
                </c:pt>
                <c:pt idx="52">
                  <c:v>36.55671282727063</c:v>
                </c:pt>
                <c:pt idx="53">
                  <c:v>37.324493494753703</c:v>
                </c:pt>
                <c:pt idx="54">
                  <c:v>38.093799947010744</c:v>
                </c:pt>
                <c:pt idx="55">
                  <c:v>38.864611301501832</c:v>
                </c:pt>
                <c:pt idx="56">
                  <c:v>39.636907342911684</c:v>
                </c:pt>
                <c:pt idx="57">
                  <c:v>40.410668490288444</c:v>
                </c:pt>
                <c:pt idx="58">
                  <c:v>41.185875766350577</c:v>
                </c:pt>
                <c:pt idx="59">
                  <c:v>41.962510768782856</c:v>
                </c:pt>
                <c:pt idx="60">
                  <c:v>42.740555643362129</c:v>
                </c:pt>
                <c:pt idx="61">
                  <c:v>43.519993058766708</c:v>
                </c:pt>
                <c:pt idx="62">
                  <c:v>44.300806182938352</c:v>
                </c:pt>
                <c:pt idx="63">
                  <c:v>45.082978660877536</c:v>
                </c:pt>
                <c:pt idx="64">
                  <c:v>45.866494593763726</c:v>
                </c:pt>
                <c:pt idx="65">
                  <c:v>46.651338519301866</c:v>
                </c:pt>
                <c:pt idx="66">
                  <c:v>47.437495393205701</c:v>
                </c:pt>
                <c:pt idx="67">
                  <c:v>48.224950571735413</c:v>
                </c:pt>
                <c:pt idx="68">
                  <c:v>49.013689795214965</c:v>
                </c:pt>
                <c:pt idx="69">
                  <c:v>49.803699172460689</c:v>
                </c:pt>
                <c:pt idx="70">
                  <c:v>50.594965166057754</c:v>
                </c:pt>
                <c:pt idx="71">
                  <c:v>50.921273710440516</c:v>
                </c:pt>
                <c:pt idx="72">
                  <c:v>50.817723276370188</c:v>
                </c:pt>
                <c:pt idx="73">
                  <c:v>50.724387082481549</c:v>
                </c:pt>
                <c:pt idx="74">
                  <c:v>52.80234047642719</c:v>
                </c:pt>
                <c:pt idx="75">
                  <c:v>53.499343164729162</c:v>
                </c:pt>
                <c:pt idx="76">
                  <c:v>54.202802333743968</c:v>
                </c:pt>
                <c:pt idx="77">
                  <c:v>54.912719476936807</c:v>
                </c:pt>
                <c:pt idx="78">
                  <c:v>55.629096107848085</c:v>
                </c:pt>
                <c:pt idx="79">
                  <c:v>56.351933760105183</c:v>
                </c:pt>
                <c:pt idx="80">
                  <c:v>57.081233987434281</c:v>
                </c:pt>
                <c:pt idx="81">
                  <c:v>57.81699836367234</c:v>
                </c:pt>
                <c:pt idx="82">
                  <c:v>58.559228482779496</c:v>
                </c:pt>
                <c:pt idx="83">
                  <c:v>59.30792595885093</c:v>
                </c:pt>
                <c:pt idx="84">
                  <c:v>60.063092426129828</c:v>
                </c:pt>
                <c:pt idx="85">
                  <c:v>60.824729539019501</c:v>
                </c:pt>
                <c:pt idx="86">
                  <c:v>61.592838972096793</c:v>
                </c:pt>
                <c:pt idx="87">
                  <c:v>62.367422420124214</c:v>
                </c:pt>
                <c:pt idx="88">
                  <c:v>63.148481598063896</c:v>
                </c:pt>
                <c:pt idx="89">
                  <c:v>63.936018241090352</c:v>
                </c:pt>
                <c:pt idx="90">
                  <c:v>64.730034104603845</c:v>
                </c:pt>
                <c:pt idx="91">
                  <c:v>65.530530964244292</c:v>
                </c:pt>
                <c:pt idx="92">
                  <c:v>66.33751061590489</c:v>
                </c:pt>
                <c:pt idx="93">
                  <c:v>67.150974875745817</c:v>
                </c:pt>
                <c:pt idx="94">
                  <c:v>67.970925580208373</c:v>
                </c:pt>
                <c:pt idx="95">
                  <c:v>68.797364586029616</c:v>
                </c:pt>
                <c:pt idx="96">
                  <c:v>69.630293770255989</c:v>
                </c:pt>
                <c:pt idx="97">
                  <c:v>70.469715030258556</c:v>
                </c:pt>
                <c:pt idx="98">
                  <c:v>71.315630283747225</c:v>
                </c:pt>
                <c:pt idx="99">
                  <c:v>72.168041468785944</c:v>
                </c:pt>
                <c:pt idx="100">
                  <c:v>73.026950543807402</c:v>
                </c:pt>
              </c:numCache>
            </c:numRef>
          </c:val>
          <c:smooth val="0"/>
        </c:ser>
        <c:dLbls>
          <c:showLegendKey val="0"/>
          <c:showVal val="0"/>
          <c:showCatName val="0"/>
          <c:showSerName val="0"/>
          <c:showPercent val="0"/>
          <c:showBubbleSize val="0"/>
        </c:dLbls>
        <c:marker val="1"/>
        <c:smooth val="0"/>
        <c:axId val="187435264"/>
        <c:axId val="187433344"/>
      </c:lineChart>
      <c:catAx>
        <c:axId val="187400576"/>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en-US"/>
          </a:p>
        </c:txPr>
        <c:crossAx val="187402496"/>
        <c:crosses val="autoZero"/>
        <c:auto val="1"/>
        <c:lblAlgn val="ctr"/>
        <c:lblOffset val="100"/>
        <c:tickLblSkip val="20"/>
        <c:tickMarkSkip val="20"/>
        <c:noMultiLvlLbl val="0"/>
      </c:catAx>
      <c:valAx>
        <c:axId val="187402496"/>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87400576"/>
        <c:crossesAt val="0"/>
        <c:crossBetween val="between"/>
        <c:majorUnit val="5"/>
        <c:minorUnit val="2.5"/>
      </c:valAx>
      <c:valAx>
        <c:axId val="187433344"/>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en-US"/>
          </a:p>
        </c:txPr>
        <c:crossAx val="187435264"/>
        <c:crosses val="max"/>
        <c:crossBetween val="between"/>
      </c:valAx>
      <c:catAx>
        <c:axId val="187435264"/>
        <c:scaling>
          <c:orientation val="minMax"/>
        </c:scaling>
        <c:delete val="1"/>
        <c:axPos val="b"/>
        <c:numFmt formatCode="General" sourceLinked="1"/>
        <c:majorTickMark val="out"/>
        <c:minorTickMark val="none"/>
        <c:tickLblPos val="nextTo"/>
        <c:crossAx val="187433344"/>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3.9892589721079133E-2"/>
          <c:w val="0.86047278973849184"/>
          <c:h val="0.83734080468357386"/>
        </c:manualLayout>
      </c:layout>
      <c:lineChart>
        <c:grouping val="standard"/>
        <c:varyColors val="0"/>
        <c:ser>
          <c:idx val="1"/>
          <c:order val="0"/>
          <c:tx>
            <c:v>VIN-min</c:v>
          </c:tx>
          <c:spPr>
            <a:ln>
              <a:solidFill>
                <a:srgbClr val="00B050"/>
              </a:solidFill>
              <a:prstDash val="sysDash"/>
            </a:ln>
          </c:spPr>
          <c:marker>
            <c:symbol val="none"/>
          </c:marker>
          <c:cat>
            <c:numRef>
              <c:f>'Calculations - Single'!$AM$5:$AM$105</c:f>
              <c:numCache>
                <c:formatCode>0</c:formatCode>
                <c:ptCount val="101"/>
                <c:pt idx="0">
                  <c:v>1.0000000000000002E-6</c:v>
                </c:pt>
                <c:pt idx="1">
                  <c:v>1.1000000000000001</c:v>
                </c:pt>
                <c:pt idx="2">
                  <c:v>2.2000000000000002</c:v>
                </c:pt>
                <c:pt idx="3">
                  <c:v>3.3</c:v>
                </c:pt>
                <c:pt idx="4">
                  <c:v>4.4000000000000004</c:v>
                </c:pt>
                <c:pt idx="5">
                  <c:v>5.5000000000000009</c:v>
                </c:pt>
                <c:pt idx="6">
                  <c:v>6.6</c:v>
                </c:pt>
                <c:pt idx="7">
                  <c:v>7.7000000000000011</c:v>
                </c:pt>
                <c:pt idx="8">
                  <c:v>8.8000000000000007</c:v>
                </c:pt>
                <c:pt idx="9">
                  <c:v>9.8999999999999986</c:v>
                </c:pt>
                <c:pt idx="10">
                  <c:v>11.000000000000002</c:v>
                </c:pt>
                <c:pt idx="11">
                  <c:v>12.1</c:v>
                </c:pt>
                <c:pt idx="12">
                  <c:v>13.2</c:v>
                </c:pt>
                <c:pt idx="13">
                  <c:v>14.3</c:v>
                </c:pt>
                <c:pt idx="14">
                  <c:v>15.400000000000002</c:v>
                </c:pt>
                <c:pt idx="15">
                  <c:v>16.5</c:v>
                </c:pt>
                <c:pt idx="16">
                  <c:v>17.600000000000001</c:v>
                </c:pt>
                <c:pt idx="17">
                  <c:v>18.700000000000003</c:v>
                </c:pt>
                <c:pt idx="18">
                  <c:v>19.799999999999997</c:v>
                </c:pt>
                <c:pt idx="19">
                  <c:v>20.900000000000002</c:v>
                </c:pt>
                <c:pt idx="20">
                  <c:v>22.000000000000004</c:v>
                </c:pt>
                <c:pt idx="21">
                  <c:v>23.099999999999998</c:v>
                </c:pt>
                <c:pt idx="22">
                  <c:v>24.2</c:v>
                </c:pt>
                <c:pt idx="23">
                  <c:v>25.3</c:v>
                </c:pt>
                <c:pt idx="24">
                  <c:v>26.4</c:v>
                </c:pt>
                <c:pt idx="25">
                  <c:v>27.5</c:v>
                </c:pt>
                <c:pt idx="26">
                  <c:v>28.6</c:v>
                </c:pt>
                <c:pt idx="27">
                  <c:v>29.7</c:v>
                </c:pt>
                <c:pt idx="28">
                  <c:v>30.800000000000004</c:v>
                </c:pt>
                <c:pt idx="29">
                  <c:v>31.9</c:v>
                </c:pt>
                <c:pt idx="30">
                  <c:v>33</c:v>
                </c:pt>
                <c:pt idx="31">
                  <c:v>34.1</c:v>
                </c:pt>
                <c:pt idx="32">
                  <c:v>35.200000000000003</c:v>
                </c:pt>
                <c:pt idx="33">
                  <c:v>36.299999999999997</c:v>
                </c:pt>
                <c:pt idx="34">
                  <c:v>37.400000000000006</c:v>
                </c:pt>
                <c:pt idx="35">
                  <c:v>38.5</c:v>
                </c:pt>
                <c:pt idx="36">
                  <c:v>39.599999999999994</c:v>
                </c:pt>
                <c:pt idx="37">
                  <c:v>40.700000000000003</c:v>
                </c:pt>
                <c:pt idx="38">
                  <c:v>41.800000000000004</c:v>
                </c:pt>
                <c:pt idx="39">
                  <c:v>42.9</c:v>
                </c:pt>
                <c:pt idx="40">
                  <c:v>44.000000000000007</c:v>
                </c:pt>
                <c:pt idx="41">
                  <c:v>45.099999999999994</c:v>
                </c:pt>
                <c:pt idx="42">
                  <c:v>46.199999999999996</c:v>
                </c:pt>
                <c:pt idx="43">
                  <c:v>47.300000000000004</c:v>
                </c:pt>
                <c:pt idx="44">
                  <c:v>48.4</c:v>
                </c:pt>
                <c:pt idx="45">
                  <c:v>49.5</c:v>
                </c:pt>
                <c:pt idx="46">
                  <c:v>50.6</c:v>
                </c:pt>
                <c:pt idx="47">
                  <c:v>51.699999999999996</c:v>
                </c:pt>
                <c:pt idx="48">
                  <c:v>52.8</c:v>
                </c:pt>
                <c:pt idx="49">
                  <c:v>53.9</c:v>
                </c:pt>
                <c:pt idx="50">
                  <c:v>55</c:v>
                </c:pt>
                <c:pt idx="51">
                  <c:v>56.1</c:v>
                </c:pt>
                <c:pt idx="52">
                  <c:v>57.2</c:v>
                </c:pt>
                <c:pt idx="53">
                  <c:v>58.300000000000004</c:v>
                </c:pt>
                <c:pt idx="54">
                  <c:v>59.4</c:v>
                </c:pt>
                <c:pt idx="55">
                  <c:v>60.500000000000007</c:v>
                </c:pt>
                <c:pt idx="56">
                  <c:v>61.600000000000009</c:v>
                </c:pt>
                <c:pt idx="57">
                  <c:v>62.699999999999989</c:v>
                </c:pt>
                <c:pt idx="58">
                  <c:v>63.8</c:v>
                </c:pt>
                <c:pt idx="59">
                  <c:v>64.900000000000006</c:v>
                </c:pt>
                <c:pt idx="60">
                  <c:v>66</c:v>
                </c:pt>
                <c:pt idx="61">
                  <c:v>67.099999999999994</c:v>
                </c:pt>
                <c:pt idx="62">
                  <c:v>68.2</c:v>
                </c:pt>
                <c:pt idx="63">
                  <c:v>69.3</c:v>
                </c:pt>
                <c:pt idx="64">
                  <c:v>70.400000000000006</c:v>
                </c:pt>
                <c:pt idx="65">
                  <c:v>71.500000000000014</c:v>
                </c:pt>
                <c:pt idx="66">
                  <c:v>72.599999999999994</c:v>
                </c:pt>
                <c:pt idx="67">
                  <c:v>73.7</c:v>
                </c:pt>
                <c:pt idx="68">
                  <c:v>74.800000000000011</c:v>
                </c:pt>
                <c:pt idx="69">
                  <c:v>75.899999999999991</c:v>
                </c:pt>
                <c:pt idx="70">
                  <c:v>77</c:v>
                </c:pt>
                <c:pt idx="71">
                  <c:v>78.100000000000009</c:v>
                </c:pt>
                <c:pt idx="72">
                  <c:v>79.199999999999989</c:v>
                </c:pt>
                <c:pt idx="73">
                  <c:v>80.3</c:v>
                </c:pt>
                <c:pt idx="74">
                  <c:v>81.400000000000006</c:v>
                </c:pt>
                <c:pt idx="75">
                  <c:v>82.5</c:v>
                </c:pt>
                <c:pt idx="76">
                  <c:v>83.600000000000009</c:v>
                </c:pt>
                <c:pt idx="77">
                  <c:v>84.7</c:v>
                </c:pt>
                <c:pt idx="78">
                  <c:v>85.8</c:v>
                </c:pt>
                <c:pt idx="79">
                  <c:v>86.9</c:v>
                </c:pt>
                <c:pt idx="80">
                  <c:v>88.000000000000014</c:v>
                </c:pt>
                <c:pt idx="81">
                  <c:v>89.100000000000009</c:v>
                </c:pt>
                <c:pt idx="82">
                  <c:v>90.199999999999989</c:v>
                </c:pt>
                <c:pt idx="83">
                  <c:v>91.3</c:v>
                </c:pt>
                <c:pt idx="84">
                  <c:v>92.399999999999991</c:v>
                </c:pt>
                <c:pt idx="85">
                  <c:v>93.5</c:v>
                </c:pt>
                <c:pt idx="86">
                  <c:v>94.600000000000009</c:v>
                </c:pt>
                <c:pt idx="87">
                  <c:v>95.699999999999989</c:v>
                </c:pt>
                <c:pt idx="88">
                  <c:v>96.8</c:v>
                </c:pt>
                <c:pt idx="89">
                  <c:v>97.9</c:v>
                </c:pt>
                <c:pt idx="90">
                  <c:v>99</c:v>
                </c:pt>
                <c:pt idx="91">
                  <c:v>100.10000000000001</c:v>
                </c:pt>
                <c:pt idx="92">
                  <c:v>101.2</c:v>
                </c:pt>
                <c:pt idx="93">
                  <c:v>102.3</c:v>
                </c:pt>
                <c:pt idx="94">
                  <c:v>103.39999999999999</c:v>
                </c:pt>
                <c:pt idx="95">
                  <c:v>104.5</c:v>
                </c:pt>
                <c:pt idx="96">
                  <c:v>105.6</c:v>
                </c:pt>
                <c:pt idx="97">
                  <c:v>106.7</c:v>
                </c:pt>
                <c:pt idx="98">
                  <c:v>107.8</c:v>
                </c:pt>
                <c:pt idx="99">
                  <c:v>108.89999999999999</c:v>
                </c:pt>
                <c:pt idx="100">
                  <c:v>110</c:v>
                </c:pt>
              </c:numCache>
            </c:numRef>
          </c:cat>
          <c:val>
            <c:numRef>
              <c:f>'Calculations - Single'!$AN$110:$AN$210</c:f>
              <c:numCache>
                <c:formatCode>0.0</c:formatCode>
                <c:ptCount val="101"/>
                <c:pt idx="0">
                  <c:v>10</c:v>
                </c:pt>
                <c:pt idx="1">
                  <c:v>13.497103245882565</c:v>
                </c:pt>
                <c:pt idx="2">
                  <c:v>26.99420649176513</c:v>
                </c:pt>
                <c:pt idx="3">
                  <c:v>40.491309737647697</c:v>
                </c:pt>
                <c:pt idx="4">
                  <c:v>53.98841298353026</c:v>
                </c:pt>
                <c:pt idx="5">
                  <c:v>67.485516229412823</c:v>
                </c:pt>
                <c:pt idx="6">
                  <c:v>80.982619475295394</c:v>
                </c:pt>
                <c:pt idx="7">
                  <c:v>94.479722721177964</c:v>
                </c:pt>
                <c:pt idx="8">
                  <c:v>107.97682596706052</c:v>
                </c:pt>
                <c:pt idx="9">
                  <c:v>121.47392921294306</c:v>
                </c:pt>
                <c:pt idx="10">
                  <c:v>134.97103245882565</c:v>
                </c:pt>
                <c:pt idx="11">
                  <c:v>148.4681357047082</c:v>
                </c:pt>
                <c:pt idx="12">
                  <c:v>161.96523895059079</c:v>
                </c:pt>
                <c:pt idx="13">
                  <c:v>175.46234219647332</c:v>
                </c:pt>
                <c:pt idx="14">
                  <c:v>188.95944544235593</c:v>
                </c:pt>
                <c:pt idx="15">
                  <c:v>202.45654868823846</c:v>
                </c:pt>
                <c:pt idx="16">
                  <c:v>215.95365193412104</c:v>
                </c:pt>
                <c:pt idx="17">
                  <c:v>229.45075518000363</c:v>
                </c:pt>
                <c:pt idx="18">
                  <c:v>242.94785842588612</c:v>
                </c:pt>
                <c:pt idx="19">
                  <c:v>256.44496167176874</c:v>
                </c:pt>
                <c:pt idx="20">
                  <c:v>269.94206491765129</c:v>
                </c:pt>
                <c:pt idx="21">
                  <c:v>283.43916816353385</c:v>
                </c:pt>
                <c:pt idx="22">
                  <c:v>296.93627140941641</c:v>
                </c:pt>
                <c:pt idx="23">
                  <c:v>310.43337465529896</c:v>
                </c:pt>
                <c:pt idx="24">
                  <c:v>323.93047790118158</c:v>
                </c:pt>
                <c:pt idx="25">
                  <c:v>337.42758114706413</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348.92450378220411</c:v>
                </c:pt>
                <c:pt idx="56">
                  <c:v>342.69370907180763</c:v>
                </c:pt>
                <c:pt idx="57">
                  <c:v>336.68153873721462</c:v>
                </c:pt>
                <c:pt idx="58">
                  <c:v>330.87668462105569</c:v>
                </c:pt>
                <c:pt idx="59">
                  <c:v>325.26860522069882</c:v>
                </c:pt>
                <c:pt idx="60">
                  <c:v>319.8474618003537</c:v>
                </c:pt>
                <c:pt idx="61">
                  <c:v>314.60406078723332</c:v>
                </c:pt>
                <c:pt idx="62">
                  <c:v>309.52980174227793</c:v>
                </c:pt>
                <c:pt idx="63">
                  <c:v>304.6166302860513</c:v>
                </c:pt>
                <c:pt idx="64">
                  <c:v>299.8569954378317</c:v>
                </c:pt>
                <c:pt idx="65">
                  <c:v>295.24381089263426</c:v>
                </c:pt>
                <c:pt idx="66">
                  <c:v>290.77041981850351</c:v>
                </c:pt>
                <c:pt idx="67">
                  <c:v>286.43056280628701</c:v>
                </c:pt>
                <c:pt idx="68">
                  <c:v>282.21834864737099</c:v>
                </c:pt>
                <c:pt idx="69">
                  <c:v>278.1282276524816</c:v>
                </c:pt>
                <c:pt idx="70">
                  <c:v>274.15496725744623</c:v>
                </c:pt>
                <c:pt idx="71">
                  <c:v>270.29362969043979</c:v>
                </c:pt>
                <c:pt idx="72">
                  <c:v>266.53955150029486</c:v>
                </c:pt>
                <c:pt idx="73">
                  <c:v>262.88832476741408</c:v>
                </c:pt>
                <c:pt idx="74">
                  <c:v>259.33577983812472</c:v>
                </c:pt>
                <c:pt idx="75">
                  <c:v>255.87796944028307</c:v>
                </c:pt>
                <c:pt idx="76">
                  <c:v>252.51115405291091</c:v>
                </c:pt>
                <c:pt idx="77">
                  <c:v>249.23178841586011</c:v>
                </c:pt>
                <c:pt idx="78">
                  <c:v>246.03650907719523</c:v>
                </c:pt>
                <c:pt idx="79">
                  <c:v>242.92212288634462</c:v>
                </c:pt>
                <c:pt idx="80">
                  <c:v>239.88559635026533</c:v>
                </c:pt>
                <c:pt idx="81">
                  <c:v>236.92404577803984</c:v>
                </c:pt>
                <c:pt idx="82">
                  <c:v>234.03472814660037</c:v>
                </c:pt>
                <c:pt idx="83">
                  <c:v>231.21503262676183</c:v>
                </c:pt>
                <c:pt idx="84">
                  <c:v>228.46247271453842</c:v>
                </c:pt>
                <c:pt idx="85">
                  <c:v>225.77467891789686</c:v>
                </c:pt>
                <c:pt idx="86">
                  <c:v>223.14939195373526</c:v>
                </c:pt>
                <c:pt idx="87">
                  <c:v>220.58445641403711</c:v>
                </c:pt>
                <c:pt idx="88">
                  <c:v>218.07781486387765</c:v>
                </c:pt>
                <c:pt idx="89">
                  <c:v>215.62750233731717</c:v>
                </c:pt>
                <c:pt idx="90">
                  <c:v>213.23164120023583</c:v>
                </c:pt>
                <c:pt idx="91">
                  <c:v>210.88843635188164</c:v>
                </c:pt>
                <c:pt idx="92">
                  <c:v>208.59617073936124</c:v>
                </c:pt>
                <c:pt idx="93">
                  <c:v>206.35320116151857</c:v>
                </c:pt>
                <c:pt idx="94">
                  <c:v>204.1579543406514</c:v>
                </c:pt>
                <c:pt idx="95">
                  <c:v>202.00892324232871</c:v>
                </c:pt>
                <c:pt idx="96">
                  <c:v>199.90466362522113</c:v>
                </c:pt>
                <c:pt idx="97">
                  <c:v>197.84379080434258</c:v>
                </c:pt>
                <c:pt idx="98">
                  <c:v>195.82497661246151</c:v>
                </c:pt>
                <c:pt idx="99">
                  <c:v>193.846946545669</c:v>
                </c:pt>
                <c:pt idx="100">
                  <c:v>191.90847708021229</c:v>
                </c:pt>
              </c:numCache>
            </c:numRef>
          </c:val>
          <c:smooth val="0"/>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1.1000000000000001</c:v>
                </c:pt>
                <c:pt idx="2">
                  <c:v>2.2000000000000002</c:v>
                </c:pt>
                <c:pt idx="3">
                  <c:v>3.3</c:v>
                </c:pt>
                <c:pt idx="4">
                  <c:v>4.4000000000000004</c:v>
                </c:pt>
                <c:pt idx="5">
                  <c:v>5.5000000000000009</c:v>
                </c:pt>
                <c:pt idx="6">
                  <c:v>6.6</c:v>
                </c:pt>
                <c:pt idx="7">
                  <c:v>7.7000000000000011</c:v>
                </c:pt>
                <c:pt idx="8">
                  <c:v>8.8000000000000007</c:v>
                </c:pt>
                <c:pt idx="9">
                  <c:v>9.8999999999999986</c:v>
                </c:pt>
                <c:pt idx="10">
                  <c:v>11.000000000000002</c:v>
                </c:pt>
                <c:pt idx="11">
                  <c:v>12.1</c:v>
                </c:pt>
                <c:pt idx="12">
                  <c:v>13.2</c:v>
                </c:pt>
                <c:pt idx="13">
                  <c:v>14.3</c:v>
                </c:pt>
                <c:pt idx="14">
                  <c:v>15.400000000000002</c:v>
                </c:pt>
                <c:pt idx="15">
                  <c:v>16.5</c:v>
                </c:pt>
                <c:pt idx="16">
                  <c:v>17.600000000000001</c:v>
                </c:pt>
                <c:pt idx="17">
                  <c:v>18.700000000000003</c:v>
                </c:pt>
                <c:pt idx="18">
                  <c:v>19.799999999999997</c:v>
                </c:pt>
                <c:pt idx="19">
                  <c:v>20.900000000000002</c:v>
                </c:pt>
                <c:pt idx="20">
                  <c:v>22.000000000000004</c:v>
                </c:pt>
                <c:pt idx="21">
                  <c:v>23.099999999999998</c:v>
                </c:pt>
                <c:pt idx="22">
                  <c:v>24.2</c:v>
                </c:pt>
                <c:pt idx="23">
                  <c:v>25.3</c:v>
                </c:pt>
                <c:pt idx="24">
                  <c:v>26.4</c:v>
                </c:pt>
                <c:pt idx="25">
                  <c:v>27.5</c:v>
                </c:pt>
                <c:pt idx="26">
                  <c:v>28.6</c:v>
                </c:pt>
                <c:pt idx="27">
                  <c:v>29.7</c:v>
                </c:pt>
                <c:pt idx="28">
                  <c:v>30.800000000000004</c:v>
                </c:pt>
                <c:pt idx="29">
                  <c:v>31.9</c:v>
                </c:pt>
                <c:pt idx="30">
                  <c:v>33</c:v>
                </c:pt>
                <c:pt idx="31">
                  <c:v>34.1</c:v>
                </c:pt>
                <c:pt idx="32">
                  <c:v>35.200000000000003</c:v>
                </c:pt>
                <c:pt idx="33">
                  <c:v>36.299999999999997</c:v>
                </c:pt>
                <c:pt idx="34">
                  <c:v>37.400000000000006</c:v>
                </c:pt>
                <c:pt idx="35">
                  <c:v>38.5</c:v>
                </c:pt>
                <c:pt idx="36">
                  <c:v>39.599999999999994</c:v>
                </c:pt>
                <c:pt idx="37">
                  <c:v>40.700000000000003</c:v>
                </c:pt>
                <c:pt idx="38">
                  <c:v>41.800000000000004</c:v>
                </c:pt>
                <c:pt idx="39">
                  <c:v>42.9</c:v>
                </c:pt>
                <c:pt idx="40">
                  <c:v>44.000000000000007</c:v>
                </c:pt>
                <c:pt idx="41">
                  <c:v>45.099999999999994</c:v>
                </c:pt>
                <c:pt idx="42">
                  <c:v>46.199999999999996</c:v>
                </c:pt>
                <c:pt idx="43">
                  <c:v>47.300000000000004</c:v>
                </c:pt>
                <c:pt idx="44">
                  <c:v>48.4</c:v>
                </c:pt>
                <c:pt idx="45">
                  <c:v>49.5</c:v>
                </c:pt>
                <c:pt idx="46">
                  <c:v>50.6</c:v>
                </c:pt>
                <c:pt idx="47">
                  <c:v>51.699999999999996</c:v>
                </c:pt>
                <c:pt idx="48">
                  <c:v>52.8</c:v>
                </c:pt>
                <c:pt idx="49">
                  <c:v>53.9</c:v>
                </c:pt>
                <c:pt idx="50">
                  <c:v>55</c:v>
                </c:pt>
                <c:pt idx="51">
                  <c:v>56.1</c:v>
                </c:pt>
                <c:pt idx="52">
                  <c:v>57.2</c:v>
                </c:pt>
                <c:pt idx="53">
                  <c:v>58.300000000000004</c:v>
                </c:pt>
                <c:pt idx="54">
                  <c:v>59.4</c:v>
                </c:pt>
                <c:pt idx="55">
                  <c:v>60.500000000000007</c:v>
                </c:pt>
                <c:pt idx="56">
                  <c:v>61.600000000000009</c:v>
                </c:pt>
                <c:pt idx="57">
                  <c:v>62.699999999999989</c:v>
                </c:pt>
                <c:pt idx="58">
                  <c:v>63.8</c:v>
                </c:pt>
                <c:pt idx="59">
                  <c:v>64.900000000000006</c:v>
                </c:pt>
                <c:pt idx="60">
                  <c:v>66</c:v>
                </c:pt>
                <c:pt idx="61">
                  <c:v>67.099999999999994</c:v>
                </c:pt>
                <c:pt idx="62">
                  <c:v>68.2</c:v>
                </c:pt>
                <c:pt idx="63">
                  <c:v>69.3</c:v>
                </c:pt>
                <c:pt idx="64">
                  <c:v>70.400000000000006</c:v>
                </c:pt>
                <c:pt idx="65">
                  <c:v>71.500000000000014</c:v>
                </c:pt>
                <c:pt idx="66">
                  <c:v>72.599999999999994</c:v>
                </c:pt>
                <c:pt idx="67">
                  <c:v>73.7</c:v>
                </c:pt>
                <c:pt idx="68">
                  <c:v>74.800000000000011</c:v>
                </c:pt>
                <c:pt idx="69">
                  <c:v>75.899999999999991</c:v>
                </c:pt>
                <c:pt idx="70">
                  <c:v>77</c:v>
                </c:pt>
                <c:pt idx="71">
                  <c:v>78.100000000000009</c:v>
                </c:pt>
                <c:pt idx="72">
                  <c:v>79.199999999999989</c:v>
                </c:pt>
                <c:pt idx="73">
                  <c:v>80.3</c:v>
                </c:pt>
                <c:pt idx="74">
                  <c:v>81.400000000000006</c:v>
                </c:pt>
                <c:pt idx="75">
                  <c:v>82.5</c:v>
                </c:pt>
                <c:pt idx="76">
                  <c:v>83.600000000000009</c:v>
                </c:pt>
                <c:pt idx="77">
                  <c:v>84.7</c:v>
                </c:pt>
                <c:pt idx="78">
                  <c:v>85.8</c:v>
                </c:pt>
                <c:pt idx="79">
                  <c:v>86.9</c:v>
                </c:pt>
                <c:pt idx="80">
                  <c:v>88.000000000000014</c:v>
                </c:pt>
                <c:pt idx="81">
                  <c:v>89.100000000000009</c:v>
                </c:pt>
                <c:pt idx="82">
                  <c:v>90.199999999999989</c:v>
                </c:pt>
                <c:pt idx="83">
                  <c:v>91.3</c:v>
                </c:pt>
                <c:pt idx="84">
                  <c:v>92.399999999999991</c:v>
                </c:pt>
                <c:pt idx="85">
                  <c:v>93.5</c:v>
                </c:pt>
                <c:pt idx="86">
                  <c:v>94.600000000000009</c:v>
                </c:pt>
                <c:pt idx="87">
                  <c:v>95.699999999999989</c:v>
                </c:pt>
                <c:pt idx="88">
                  <c:v>96.8</c:v>
                </c:pt>
                <c:pt idx="89">
                  <c:v>97.9</c:v>
                </c:pt>
                <c:pt idx="90">
                  <c:v>99</c:v>
                </c:pt>
                <c:pt idx="91">
                  <c:v>100.10000000000001</c:v>
                </c:pt>
                <c:pt idx="92">
                  <c:v>101.2</c:v>
                </c:pt>
                <c:pt idx="93">
                  <c:v>102.3</c:v>
                </c:pt>
                <c:pt idx="94">
                  <c:v>103.39999999999999</c:v>
                </c:pt>
                <c:pt idx="95">
                  <c:v>104.5</c:v>
                </c:pt>
                <c:pt idx="96">
                  <c:v>105.6</c:v>
                </c:pt>
                <c:pt idx="97">
                  <c:v>106.7</c:v>
                </c:pt>
                <c:pt idx="98">
                  <c:v>107.8</c:v>
                </c:pt>
                <c:pt idx="99">
                  <c:v>108.89999999999999</c:v>
                </c:pt>
                <c:pt idx="100">
                  <c:v>110</c:v>
                </c:pt>
              </c:numCache>
            </c:numRef>
          </c:cat>
          <c:val>
            <c:numRef>
              <c:f>'Calculations - Single'!$AN$5:$AN$105</c:f>
              <c:numCache>
                <c:formatCode>0.0</c:formatCode>
                <c:ptCount val="101"/>
                <c:pt idx="0">
                  <c:v>10</c:v>
                </c:pt>
                <c:pt idx="1">
                  <c:v>13.497103245882565</c:v>
                </c:pt>
                <c:pt idx="2">
                  <c:v>26.99420649176513</c:v>
                </c:pt>
                <c:pt idx="3">
                  <c:v>40.491309737647697</c:v>
                </c:pt>
                <c:pt idx="4">
                  <c:v>53.98841298353026</c:v>
                </c:pt>
                <c:pt idx="5">
                  <c:v>67.485516229412823</c:v>
                </c:pt>
                <c:pt idx="6">
                  <c:v>80.982619475295394</c:v>
                </c:pt>
                <c:pt idx="7">
                  <c:v>94.479722721177964</c:v>
                </c:pt>
                <c:pt idx="8">
                  <c:v>107.97682596706052</c:v>
                </c:pt>
                <c:pt idx="9">
                  <c:v>121.47392921294306</c:v>
                </c:pt>
                <c:pt idx="10">
                  <c:v>134.97103245882565</c:v>
                </c:pt>
                <c:pt idx="11">
                  <c:v>148.4681357047082</c:v>
                </c:pt>
                <c:pt idx="12">
                  <c:v>161.96523895059079</c:v>
                </c:pt>
                <c:pt idx="13">
                  <c:v>175.46234219647332</c:v>
                </c:pt>
                <c:pt idx="14">
                  <c:v>188.95944544235593</c:v>
                </c:pt>
                <c:pt idx="15">
                  <c:v>202.45654868823846</c:v>
                </c:pt>
                <c:pt idx="16">
                  <c:v>215.95365193412104</c:v>
                </c:pt>
                <c:pt idx="17">
                  <c:v>229.45075518000363</c:v>
                </c:pt>
                <c:pt idx="18">
                  <c:v>242.94785842588612</c:v>
                </c:pt>
                <c:pt idx="19">
                  <c:v>256.44496167176874</c:v>
                </c:pt>
                <c:pt idx="20">
                  <c:v>269.94206491765129</c:v>
                </c:pt>
                <c:pt idx="21">
                  <c:v>283.43916816353385</c:v>
                </c:pt>
                <c:pt idx="22">
                  <c:v>296.93627140941641</c:v>
                </c:pt>
                <c:pt idx="23">
                  <c:v>310.43337465529896</c:v>
                </c:pt>
                <c:pt idx="24">
                  <c:v>323.93047790118158</c:v>
                </c:pt>
                <c:pt idx="25">
                  <c:v>337.42758114706413</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347.45889347682305</c:v>
                </c:pt>
                <c:pt idx="72">
                  <c:v>342.63307551186728</c:v>
                </c:pt>
                <c:pt idx="73">
                  <c:v>337.93947173773205</c:v>
                </c:pt>
                <c:pt idx="74">
                  <c:v>333.3727221196545</c:v>
                </c:pt>
                <c:pt idx="75">
                  <c:v>328.92775249139254</c:v>
                </c:pt>
                <c:pt idx="76">
                  <c:v>324.5997557480847</c:v>
                </c:pt>
                <c:pt idx="77">
                  <c:v>320.3841745046031</c:v>
                </c:pt>
                <c:pt idx="78">
                  <c:v>316.27668508787735</c:v>
                </c:pt>
                <c:pt idx="79">
                  <c:v>312.27318274499282</c:v>
                </c:pt>
                <c:pt idx="80">
                  <c:v>308.36976796068052</c:v>
                </c:pt>
                <c:pt idx="81">
                  <c:v>304.56273378832634</c:v>
                </c:pt>
                <c:pt idx="82">
                  <c:v>300.84855410798104</c:v>
                </c:pt>
                <c:pt idx="83">
                  <c:v>297.22387273318606</c:v>
                </c:pt>
                <c:pt idx="84">
                  <c:v>293.68549329588615</c:v>
                </c:pt>
                <c:pt idx="85">
                  <c:v>290.23036984534633</c:v>
                </c:pt>
                <c:pt idx="86">
                  <c:v>286.85559810295871</c:v>
                </c:pt>
                <c:pt idx="87">
                  <c:v>283.558407320166</c:v>
                </c:pt>
                <c:pt idx="88">
                  <c:v>280.33615269152773</c:v>
                </c:pt>
                <c:pt idx="89">
                  <c:v>277.1863082792633</c:v>
                </c:pt>
                <c:pt idx="90">
                  <c:v>274.10646040949371</c:v>
                </c:pt>
                <c:pt idx="91">
                  <c:v>271.09430150389488</c:v>
                </c:pt>
                <c:pt idx="92">
                  <c:v>268.14762431363522</c:v>
                </c:pt>
                <c:pt idx="93">
                  <c:v>265.26431652531659</c:v>
                </c:pt>
                <c:pt idx="94">
                  <c:v>262.44235571121743</c:v>
                </c:pt>
                <c:pt idx="95">
                  <c:v>259.6798045984678</c:v>
                </c:pt>
                <c:pt idx="96">
                  <c:v>256.97480663390036</c:v>
                </c:pt>
                <c:pt idx="97">
                  <c:v>254.32558182324161</c:v>
                </c:pt>
                <c:pt idx="98">
                  <c:v>251.73042282504531</c:v>
                </c:pt>
                <c:pt idx="99">
                  <c:v>249.18769128135801</c:v>
                </c:pt>
                <c:pt idx="100">
                  <c:v>246.6958143685444</c:v>
                </c:pt>
              </c:numCache>
            </c:numRef>
          </c:val>
          <c:smooth val="0"/>
        </c:ser>
        <c:ser>
          <c:idx val="2"/>
          <c:order val="2"/>
          <c:tx>
            <c:v>VIN-max</c:v>
          </c:tx>
          <c:spPr>
            <a:ln>
              <a:solidFill>
                <a:srgbClr val="FF0000"/>
              </a:solidFill>
              <a:prstDash val="solid"/>
            </a:ln>
          </c:spPr>
          <c:marker>
            <c:symbol val="none"/>
          </c:marker>
          <c:cat>
            <c:numRef>
              <c:f>'Calculations - Single'!$AM$5:$AM$105</c:f>
              <c:numCache>
                <c:formatCode>0</c:formatCode>
                <c:ptCount val="101"/>
                <c:pt idx="0">
                  <c:v>1.0000000000000002E-6</c:v>
                </c:pt>
                <c:pt idx="1">
                  <c:v>1.1000000000000001</c:v>
                </c:pt>
                <c:pt idx="2">
                  <c:v>2.2000000000000002</c:v>
                </c:pt>
                <c:pt idx="3">
                  <c:v>3.3</c:v>
                </c:pt>
                <c:pt idx="4">
                  <c:v>4.4000000000000004</c:v>
                </c:pt>
                <c:pt idx="5">
                  <c:v>5.5000000000000009</c:v>
                </c:pt>
                <c:pt idx="6">
                  <c:v>6.6</c:v>
                </c:pt>
                <c:pt idx="7">
                  <c:v>7.7000000000000011</c:v>
                </c:pt>
                <c:pt idx="8">
                  <c:v>8.8000000000000007</c:v>
                </c:pt>
                <c:pt idx="9">
                  <c:v>9.8999999999999986</c:v>
                </c:pt>
                <c:pt idx="10">
                  <c:v>11.000000000000002</c:v>
                </c:pt>
                <c:pt idx="11">
                  <c:v>12.1</c:v>
                </c:pt>
                <c:pt idx="12">
                  <c:v>13.2</c:v>
                </c:pt>
                <c:pt idx="13">
                  <c:v>14.3</c:v>
                </c:pt>
                <c:pt idx="14">
                  <c:v>15.400000000000002</c:v>
                </c:pt>
                <c:pt idx="15">
                  <c:v>16.5</c:v>
                </c:pt>
                <c:pt idx="16">
                  <c:v>17.600000000000001</c:v>
                </c:pt>
                <c:pt idx="17">
                  <c:v>18.700000000000003</c:v>
                </c:pt>
                <c:pt idx="18">
                  <c:v>19.799999999999997</c:v>
                </c:pt>
                <c:pt idx="19">
                  <c:v>20.900000000000002</c:v>
                </c:pt>
                <c:pt idx="20">
                  <c:v>22.000000000000004</c:v>
                </c:pt>
                <c:pt idx="21">
                  <c:v>23.099999999999998</c:v>
                </c:pt>
                <c:pt idx="22">
                  <c:v>24.2</c:v>
                </c:pt>
                <c:pt idx="23">
                  <c:v>25.3</c:v>
                </c:pt>
                <c:pt idx="24">
                  <c:v>26.4</c:v>
                </c:pt>
                <c:pt idx="25">
                  <c:v>27.5</c:v>
                </c:pt>
                <c:pt idx="26">
                  <c:v>28.6</c:v>
                </c:pt>
                <c:pt idx="27">
                  <c:v>29.7</c:v>
                </c:pt>
                <c:pt idx="28">
                  <c:v>30.800000000000004</c:v>
                </c:pt>
                <c:pt idx="29">
                  <c:v>31.9</c:v>
                </c:pt>
                <c:pt idx="30">
                  <c:v>33</c:v>
                </c:pt>
                <c:pt idx="31">
                  <c:v>34.1</c:v>
                </c:pt>
                <c:pt idx="32">
                  <c:v>35.200000000000003</c:v>
                </c:pt>
                <c:pt idx="33">
                  <c:v>36.299999999999997</c:v>
                </c:pt>
                <c:pt idx="34">
                  <c:v>37.400000000000006</c:v>
                </c:pt>
                <c:pt idx="35">
                  <c:v>38.5</c:v>
                </c:pt>
                <c:pt idx="36">
                  <c:v>39.599999999999994</c:v>
                </c:pt>
                <c:pt idx="37">
                  <c:v>40.700000000000003</c:v>
                </c:pt>
                <c:pt idx="38">
                  <c:v>41.800000000000004</c:v>
                </c:pt>
                <c:pt idx="39">
                  <c:v>42.9</c:v>
                </c:pt>
                <c:pt idx="40">
                  <c:v>44.000000000000007</c:v>
                </c:pt>
                <c:pt idx="41">
                  <c:v>45.099999999999994</c:v>
                </c:pt>
                <c:pt idx="42">
                  <c:v>46.199999999999996</c:v>
                </c:pt>
                <c:pt idx="43">
                  <c:v>47.300000000000004</c:v>
                </c:pt>
                <c:pt idx="44">
                  <c:v>48.4</c:v>
                </c:pt>
                <c:pt idx="45">
                  <c:v>49.5</c:v>
                </c:pt>
                <c:pt idx="46">
                  <c:v>50.6</c:v>
                </c:pt>
                <c:pt idx="47">
                  <c:v>51.699999999999996</c:v>
                </c:pt>
                <c:pt idx="48">
                  <c:v>52.8</c:v>
                </c:pt>
                <c:pt idx="49">
                  <c:v>53.9</c:v>
                </c:pt>
                <c:pt idx="50">
                  <c:v>55</c:v>
                </c:pt>
                <c:pt idx="51">
                  <c:v>56.1</c:v>
                </c:pt>
                <c:pt idx="52">
                  <c:v>57.2</c:v>
                </c:pt>
                <c:pt idx="53">
                  <c:v>58.300000000000004</c:v>
                </c:pt>
                <c:pt idx="54">
                  <c:v>59.4</c:v>
                </c:pt>
                <c:pt idx="55">
                  <c:v>60.500000000000007</c:v>
                </c:pt>
                <c:pt idx="56">
                  <c:v>61.600000000000009</c:v>
                </c:pt>
                <c:pt idx="57">
                  <c:v>62.699999999999989</c:v>
                </c:pt>
                <c:pt idx="58">
                  <c:v>63.8</c:v>
                </c:pt>
                <c:pt idx="59">
                  <c:v>64.900000000000006</c:v>
                </c:pt>
                <c:pt idx="60">
                  <c:v>66</c:v>
                </c:pt>
                <c:pt idx="61">
                  <c:v>67.099999999999994</c:v>
                </c:pt>
                <c:pt idx="62">
                  <c:v>68.2</c:v>
                </c:pt>
                <c:pt idx="63">
                  <c:v>69.3</c:v>
                </c:pt>
                <c:pt idx="64">
                  <c:v>70.400000000000006</c:v>
                </c:pt>
                <c:pt idx="65">
                  <c:v>71.500000000000014</c:v>
                </c:pt>
                <c:pt idx="66">
                  <c:v>72.599999999999994</c:v>
                </c:pt>
                <c:pt idx="67">
                  <c:v>73.7</c:v>
                </c:pt>
                <c:pt idx="68">
                  <c:v>74.800000000000011</c:v>
                </c:pt>
                <c:pt idx="69">
                  <c:v>75.899999999999991</c:v>
                </c:pt>
                <c:pt idx="70">
                  <c:v>77</c:v>
                </c:pt>
                <c:pt idx="71">
                  <c:v>78.100000000000009</c:v>
                </c:pt>
                <c:pt idx="72">
                  <c:v>79.199999999999989</c:v>
                </c:pt>
                <c:pt idx="73">
                  <c:v>80.3</c:v>
                </c:pt>
                <c:pt idx="74">
                  <c:v>81.400000000000006</c:v>
                </c:pt>
                <c:pt idx="75">
                  <c:v>82.5</c:v>
                </c:pt>
                <c:pt idx="76">
                  <c:v>83.600000000000009</c:v>
                </c:pt>
                <c:pt idx="77">
                  <c:v>84.7</c:v>
                </c:pt>
                <c:pt idx="78">
                  <c:v>85.8</c:v>
                </c:pt>
                <c:pt idx="79">
                  <c:v>86.9</c:v>
                </c:pt>
                <c:pt idx="80">
                  <c:v>88.000000000000014</c:v>
                </c:pt>
                <c:pt idx="81">
                  <c:v>89.100000000000009</c:v>
                </c:pt>
                <c:pt idx="82">
                  <c:v>90.199999999999989</c:v>
                </c:pt>
                <c:pt idx="83">
                  <c:v>91.3</c:v>
                </c:pt>
                <c:pt idx="84">
                  <c:v>92.399999999999991</c:v>
                </c:pt>
                <c:pt idx="85">
                  <c:v>93.5</c:v>
                </c:pt>
                <c:pt idx="86">
                  <c:v>94.600000000000009</c:v>
                </c:pt>
                <c:pt idx="87">
                  <c:v>95.699999999999989</c:v>
                </c:pt>
                <c:pt idx="88">
                  <c:v>96.8</c:v>
                </c:pt>
                <c:pt idx="89">
                  <c:v>97.9</c:v>
                </c:pt>
                <c:pt idx="90">
                  <c:v>99</c:v>
                </c:pt>
                <c:pt idx="91">
                  <c:v>100.10000000000001</c:v>
                </c:pt>
                <c:pt idx="92">
                  <c:v>101.2</c:v>
                </c:pt>
                <c:pt idx="93">
                  <c:v>102.3</c:v>
                </c:pt>
                <c:pt idx="94">
                  <c:v>103.39999999999999</c:v>
                </c:pt>
                <c:pt idx="95">
                  <c:v>104.5</c:v>
                </c:pt>
                <c:pt idx="96">
                  <c:v>105.6</c:v>
                </c:pt>
                <c:pt idx="97">
                  <c:v>106.7</c:v>
                </c:pt>
                <c:pt idx="98">
                  <c:v>107.8</c:v>
                </c:pt>
                <c:pt idx="99">
                  <c:v>108.89999999999999</c:v>
                </c:pt>
                <c:pt idx="100">
                  <c:v>110</c:v>
                </c:pt>
              </c:numCache>
            </c:numRef>
          </c:cat>
          <c:val>
            <c:numRef>
              <c:f>'Calculations - Single'!$AN$216:$AN$316</c:f>
              <c:numCache>
                <c:formatCode>0.0</c:formatCode>
                <c:ptCount val="101"/>
                <c:pt idx="0">
                  <c:v>10</c:v>
                </c:pt>
                <c:pt idx="1">
                  <c:v>13.497103245882565</c:v>
                </c:pt>
                <c:pt idx="2">
                  <c:v>26.99420649176513</c:v>
                </c:pt>
                <c:pt idx="3">
                  <c:v>40.491309737647697</c:v>
                </c:pt>
                <c:pt idx="4">
                  <c:v>53.98841298353026</c:v>
                </c:pt>
                <c:pt idx="5">
                  <c:v>67.485516229412823</c:v>
                </c:pt>
                <c:pt idx="6">
                  <c:v>80.982619475295394</c:v>
                </c:pt>
                <c:pt idx="7">
                  <c:v>94.479722721177964</c:v>
                </c:pt>
                <c:pt idx="8">
                  <c:v>107.97682596706052</c:v>
                </c:pt>
                <c:pt idx="9">
                  <c:v>121.47392921294306</c:v>
                </c:pt>
                <c:pt idx="10">
                  <c:v>134.97103245882565</c:v>
                </c:pt>
                <c:pt idx="11">
                  <c:v>148.4681357047082</c:v>
                </c:pt>
                <c:pt idx="12">
                  <c:v>161.96523895059079</c:v>
                </c:pt>
                <c:pt idx="13">
                  <c:v>175.46234219647332</c:v>
                </c:pt>
                <c:pt idx="14">
                  <c:v>188.95944544235593</c:v>
                </c:pt>
                <c:pt idx="15">
                  <c:v>202.45654868823846</c:v>
                </c:pt>
                <c:pt idx="16">
                  <c:v>215.95365193412104</c:v>
                </c:pt>
                <c:pt idx="17">
                  <c:v>229.45075518000363</c:v>
                </c:pt>
                <c:pt idx="18">
                  <c:v>242.94785842588612</c:v>
                </c:pt>
                <c:pt idx="19">
                  <c:v>256.44496167176874</c:v>
                </c:pt>
                <c:pt idx="20">
                  <c:v>269.94206491765129</c:v>
                </c:pt>
                <c:pt idx="21">
                  <c:v>283.43916816353385</c:v>
                </c:pt>
                <c:pt idx="22">
                  <c:v>296.93627140941641</c:v>
                </c:pt>
                <c:pt idx="23">
                  <c:v>310.43337465529896</c:v>
                </c:pt>
                <c:pt idx="24">
                  <c:v>323.93047790118158</c:v>
                </c:pt>
                <c:pt idx="25">
                  <c:v>337.42758114706413</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349.77652039816189</c:v>
                </c:pt>
                <c:pt idx="95">
                  <c:v>346.09466228870758</c:v>
                </c:pt>
                <c:pt idx="96">
                  <c:v>342.48950955653356</c:v>
                </c:pt>
                <c:pt idx="97">
                  <c:v>338.95868987038364</c:v>
                </c:pt>
                <c:pt idx="98">
                  <c:v>335.49992772884912</c:v>
                </c:pt>
                <c:pt idx="99">
                  <c:v>332.11103956997181</c:v>
                </c:pt>
                <c:pt idx="100">
                  <c:v>328.78992917427212</c:v>
                </c:pt>
              </c:numCache>
            </c:numRef>
          </c:val>
          <c:smooth val="0"/>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1.1000000000000001</c:v>
                </c:pt>
                <c:pt idx="2">
                  <c:v>2.2000000000000002</c:v>
                </c:pt>
                <c:pt idx="3">
                  <c:v>3.3</c:v>
                </c:pt>
                <c:pt idx="4">
                  <c:v>4.4000000000000004</c:v>
                </c:pt>
                <c:pt idx="5">
                  <c:v>5.5000000000000009</c:v>
                </c:pt>
                <c:pt idx="6">
                  <c:v>6.6</c:v>
                </c:pt>
                <c:pt idx="7">
                  <c:v>7.7000000000000011</c:v>
                </c:pt>
                <c:pt idx="8">
                  <c:v>8.8000000000000007</c:v>
                </c:pt>
                <c:pt idx="9">
                  <c:v>9.8999999999999986</c:v>
                </c:pt>
                <c:pt idx="10">
                  <c:v>11.000000000000002</c:v>
                </c:pt>
                <c:pt idx="11">
                  <c:v>12.1</c:v>
                </c:pt>
                <c:pt idx="12">
                  <c:v>13.2</c:v>
                </c:pt>
                <c:pt idx="13">
                  <c:v>14.3</c:v>
                </c:pt>
                <c:pt idx="14">
                  <c:v>15.400000000000002</c:v>
                </c:pt>
                <c:pt idx="15">
                  <c:v>16.5</c:v>
                </c:pt>
                <c:pt idx="16">
                  <c:v>17.600000000000001</c:v>
                </c:pt>
                <c:pt idx="17">
                  <c:v>18.700000000000003</c:v>
                </c:pt>
                <c:pt idx="18">
                  <c:v>19.799999999999997</c:v>
                </c:pt>
                <c:pt idx="19">
                  <c:v>20.900000000000002</c:v>
                </c:pt>
                <c:pt idx="20">
                  <c:v>22.000000000000004</c:v>
                </c:pt>
                <c:pt idx="21">
                  <c:v>23.099999999999998</c:v>
                </c:pt>
                <c:pt idx="22">
                  <c:v>24.2</c:v>
                </c:pt>
                <c:pt idx="23">
                  <c:v>25.3</c:v>
                </c:pt>
                <c:pt idx="24">
                  <c:v>26.4</c:v>
                </c:pt>
                <c:pt idx="25">
                  <c:v>27.5</c:v>
                </c:pt>
                <c:pt idx="26">
                  <c:v>28.6</c:v>
                </c:pt>
                <c:pt idx="27">
                  <c:v>29.7</c:v>
                </c:pt>
                <c:pt idx="28">
                  <c:v>30.800000000000004</c:v>
                </c:pt>
                <c:pt idx="29">
                  <c:v>31.9</c:v>
                </c:pt>
                <c:pt idx="30">
                  <c:v>33</c:v>
                </c:pt>
                <c:pt idx="31">
                  <c:v>34.1</c:v>
                </c:pt>
                <c:pt idx="32">
                  <c:v>35.200000000000003</c:v>
                </c:pt>
                <c:pt idx="33">
                  <c:v>36.299999999999997</c:v>
                </c:pt>
                <c:pt idx="34">
                  <c:v>37.400000000000006</c:v>
                </c:pt>
                <c:pt idx="35">
                  <c:v>38.5</c:v>
                </c:pt>
                <c:pt idx="36">
                  <c:v>39.599999999999994</c:v>
                </c:pt>
                <c:pt idx="37">
                  <c:v>40.700000000000003</c:v>
                </c:pt>
                <c:pt idx="38">
                  <c:v>41.800000000000004</c:v>
                </c:pt>
                <c:pt idx="39">
                  <c:v>42.9</c:v>
                </c:pt>
                <c:pt idx="40">
                  <c:v>44.000000000000007</c:v>
                </c:pt>
                <c:pt idx="41">
                  <c:v>45.099999999999994</c:v>
                </c:pt>
                <c:pt idx="42">
                  <c:v>46.199999999999996</c:v>
                </c:pt>
                <c:pt idx="43">
                  <c:v>47.300000000000004</c:v>
                </c:pt>
                <c:pt idx="44">
                  <c:v>48.4</c:v>
                </c:pt>
                <c:pt idx="45">
                  <c:v>49.5</c:v>
                </c:pt>
                <c:pt idx="46">
                  <c:v>50.6</c:v>
                </c:pt>
                <c:pt idx="47">
                  <c:v>51.699999999999996</c:v>
                </c:pt>
                <c:pt idx="48">
                  <c:v>52.8</c:v>
                </c:pt>
                <c:pt idx="49">
                  <c:v>53.9</c:v>
                </c:pt>
                <c:pt idx="50">
                  <c:v>55</c:v>
                </c:pt>
                <c:pt idx="51">
                  <c:v>56.1</c:v>
                </c:pt>
                <c:pt idx="52">
                  <c:v>57.2</c:v>
                </c:pt>
                <c:pt idx="53">
                  <c:v>58.300000000000004</c:v>
                </c:pt>
                <c:pt idx="54">
                  <c:v>59.4</c:v>
                </c:pt>
                <c:pt idx="55">
                  <c:v>60.500000000000007</c:v>
                </c:pt>
                <c:pt idx="56">
                  <c:v>61.600000000000009</c:v>
                </c:pt>
                <c:pt idx="57">
                  <c:v>62.699999999999989</c:v>
                </c:pt>
                <c:pt idx="58">
                  <c:v>63.8</c:v>
                </c:pt>
                <c:pt idx="59">
                  <c:v>64.900000000000006</c:v>
                </c:pt>
                <c:pt idx="60">
                  <c:v>66</c:v>
                </c:pt>
                <c:pt idx="61">
                  <c:v>67.099999999999994</c:v>
                </c:pt>
                <c:pt idx="62">
                  <c:v>68.2</c:v>
                </c:pt>
                <c:pt idx="63">
                  <c:v>69.3</c:v>
                </c:pt>
                <c:pt idx="64">
                  <c:v>70.400000000000006</c:v>
                </c:pt>
                <c:pt idx="65">
                  <c:v>71.500000000000014</c:v>
                </c:pt>
                <c:pt idx="66">
                  <c:v>72.599999999999994</c:v>
                </c:pt>
                <c:pt idx="67">
                  <c:v>73.7</c:v>
                </c:pt>
                <c:pt idx="68">
                  <c:v>74.800000000000011</c:v>
                </c:pt>
                <c:pt idx="69">
                  <c:v>75.899999999999991</c:v>
                </c:pt>
                <c:pt idx="70">
                  <c:v>77</c:v>
                </c:pt>
                <c:pt idx="71">
                  <c:v>78.100000000000009</c:v>
                </c:pt>
                <c:pt idx="72">
                  <c:v>79.199999999999989</c:v>
                </c:pt>
                <c:pt idx="73">
                  <c:v>80.3</c:v>
                </c:pt>
                <c:pt idx="74">
                  <c:v>81.400000000000006</c:v>
                </c:pt>
                <c:pt idx="75">
                  <c:v>82.5</c:v>
                </c:pt>
                <c:pt idx="76">
                  <c:v>83.600000000000009</c:v>
                </c:pt>
                <c:pt idx="77">
                  <c:v>84.7</c:v>
                </c:pt>
                <c:pt idx="78">
                  <c:v>85.8</c:v>
                </c:pt>
                <c:pt idx="79">
                  <c:v>86.9</c:v>
                </c:pt>
                <c:pt idx="80">
                  <c:v>88.000000000000014</c:v>
                </c:pt>
                <c:pt idx="81">
                  <c:v>89.100000000000009</c:v>
                </c:pt>
                <c:pt idx="82">
                  <c:v>90.199999999999989</c:v>
                </c:pt>
                <c:pt idx="83">
                  <c:v>91.3</c:v>
                </c:pt>
                <c:pt idx="84">
                  <c:v>92.399999999999991</c:v>
                </c:pt>
                <c:pt idx="85">
                  <c:v>93.5</c:v>
                </c:pt>
                <c:pt idx="86">
                  <c:v>94.600000000000009</c:v>
                </c:pt>
                <c:pt idx="87">
                  <c:v>95.699999999999989</c:v>
                </c:pt>
                <c:pt idx="88">
                  <c:v>96.8</c:v>
                </c:pt>
                <c:pt idx="89">
                  <c:v>97.9</c:v>
                </c:pt>
                <c:pt idx="90">
                  <c:v>99</c:v>
                </c:pt>
                <c:pt idx="91">
                  <c:v>100.10000000000001</c:v>
                </c:pt>
                <c:pt idx="92">
                  <c:v>101.2</c:v>
                </c:pt>
                <c:pt idx="93">
                  <c:v>102.3</c:v>
                </c:pt>
                <c:pt idx="94">
                  <c:v>103.39999999999999</c:v>
                </c:pt>
                <c:pt idx="95">
                  <c:v>104.5</c:v>
                </c:pt>
                <c:pt idx="96">
                  <c:v>105.6</c:v>
                </c:pt>
                <c:pt idx="97">
                  <c:v>106.7</c:v>
                </c:pt>
                <c:pt idx="98">
                  <c:v>107.8</c:v>
                </c:pt>
                <c:pt idx="99">
                  <c:v>108.89999999999999</c:v>
                </c:pt>
                <c:pt idx="100">
                  <c:v>110</c:v>
                </c:pt>
              </c:numCache>
            </c:numRef>
          </c:cat>
          <c:val>
            <c:numRef>
              <c:f>'Calculations - Single'!$CD$110:$CD$210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1.1000000000000001</c:v>
                </c:pt>
                <c:pt idx="2">
                  <c:v>2.2000000000000002</c:v>
                </c:pt>
                <c:pt idx="3">
                  <c:v>3.3</c:v>
                </c:pt>
                <c:pt idx="4">
                  <c:v>4.4000000000000004</c:v>
                </c:pt>
                <c:pt idx="5">
                  <c:v>5.5000000000000009</c:v>
                </c:pt>
                <c:pt idx="6">
                  <c:v>6.6</c:v>
                </c:pt>
                <c:pt idx="7">
                  <c:v>7.7000000000000011</c:v>
                </c:pt>
                <c:pt idx="8">
                  <c:v>8.8000000000000007</c:v>
                </c:pt>
                <c:pt idx="9">
                  <c:v>9.8999999999999986</c:v>
                </c:pt>
                <c:pt idx="10">
                  <c:v>11.000000000000002</c:v>
                </c:pt>
                <c:pt idx="11">
                  <c:v>12.1</c:v>
                </c:pt>
                <c:pt idx="12">
                  <c:v>13.2</c:v>
                </c:pt>
                <c:pt idx="13">
                  <c:v>14.3</c:v>
                </c:pt>
                <c:pt idx="14">
                  <c:v>15.400000000000002</c:v>
                </c:pt>
                <c:pt idx="15">
                  <c:v>16.5</c:v>
                </c:pt>
                <c:pt idx="16">
                  <c:v>17.600000000000001</c:v>
                </c:pt>
                <c:pt idx="17">
                  <c:v>18.700000000000003</c:v>
                </c:pt>
                <c:pt idx="18">
                  <c:v>19.799999999999997</c:v>
                </c:pt>
                <c:pt idx="19">
                  <c:v>20.900000000000002</c:v>
                </c:pt>
                <c:pt idx="20">
                  <c:v>22.000000000000004</c:v>
                </c:pt>
                <c:pt idx="21">
                  <c:v>23.099999999999998</c:v>
                </c:pt>
                <c:pt idx="22">
                  <c:v>24.2</c:v>
                </c:pt>
                <c:pt idx="23">
                  <c:v>25.3</c:v>
                </c:pt>
                <c:pt idx="24">
                  <c:v>26.4</c:v>
                </c:pt>
                <c:pt idx="25">
                  <c:v>27.5</c:v>
                </c:pt>
                <c:pt idx="26">
                  <c:v>28.6</c:v>
                </c:pt>
                <c:pt idx="27">
                  <c:v>29.7</c:v>
                </c:pt>
                <c:pt idx="28">
                  <c:v>30.800000000000004</c:v>
                </c:pt>
                <c:pt idx="29">
                  <c:v>31.9</c:v>
                </c:pt>
                <c:pt idx="30">
                  <c:v>33</c:v>
                </c:pt>
                <c:pt idx="31">
                  <c:v>34.1</c:v>
                </c:pt>
                <c:pt idx="32">
                  <c:v>35.200000000000003</c:v>
                </c:pt>
                <c:pt idx="33">
                  <c:v>36.299999999999997</c:v>
                </c:pt>
                <c:pt idx="34">
                  <c:v>37.400000000000006</c:v>
                </c:pt>
                <c:pt idx="35">
                  <c:v>38.5</c:v>
                </c:pt>
                <c:pt idx="36">
                  <c:v>39.599999999999994</c:v>
                </c:pt>
                <c:pt idx="37">
                  <c:v>40.700000000000003</c:v>
                </c:pt>
                <c:pt idx="38">
                  <c:v>41.800000000000004</c:v>
                </c:pt>
                <c:pt idx="39">
                  <c:v>42.9</c:v>
                </c:pt>
                <c:pt idx="40">
                  <c:v>44.000000000000007</c:v>
                </c:pt>
                <c:pt idx="41">
                  <c:v>45.099999999999994</c:v>
                </c:pt>
                <c:pt idx="42">
                  <c:v>46.199999999999996</c:v>
                </c:pt>
                <c:pt idx="43">
                  <c:v>47.300000000000004</c:v>
                </c:pt>
                <c:pt idx="44">
                  <c:v>48.4</c:v>
                </c:pt>
                <c:pt idx="45">
                  <c:v>49.5</c:v>
                </c:pt>
                <c:pt idx="46">
                  <c:v>50.6</c:v>
                </c:pt>
                <c:pt idx="47">
                  <c:v>51.699999999999996</c:v>
                </c:pt>
                <c:pt idx="48">
                  <c:v>52.8</c:v>
                </c:pt>
                <c:pt idx="49">
                  <c:v>53.9</c:v>
                </c:pt>
                <c:pt idx="50">
                  <c:v>55</c:v>
                </c:pt>
                <c:pt idx="51">
                  <c:v>56.1</c:v>
                </c:pt>
                <c:pt idx="52">
                  <c:v>57.2</c:v>
                </c:pt>
                <c:pt idx="53">
                  <c:v>58.300000000000004</c:v>
                </c:pt>
                <c:pt idx="54">
                  <c:v>59.4</c:v>
                </c:pt>
                <c:pt idx="55">
                  <c:v>60.500000000000007</c:v>
                </c:pt>
                <c:pt idx="56">
                  <c:v>61.600000000000009</c:v>
                </c:pt>
                <c:pt idx="57">
                  <c:v>62.699999999999989</c:v>
                </c:pt>
                <c:pt idx="58">
                  <c:v>63.8</c:v>
                </c:pt>
                <c:pt idx="59">
                  <c:v>64.900000000000006</c:v>
                </c:pt>
                <c:pt idx="60">
                  <c:v>66</c:v>
                </c:pt>
                <c:pt idx="61">
                  <c:v>67.099999999999994</c:v>
                </c:pt>
                <c:pt idx="62">
                  <c:v>68.2</c:v>
                </c:pt>
                <c:pt idx="63">
                  <c:v>69.3</c:v>
                </c:pt>
                <c:pt idx="64">
                  <c:v>70.400000000000006</c:v>
                </c:pt>
                <c:pt idx="65">
                  <c:v>71.500000000000014</c:v>
                </c:pt>
                <c:pt idx="66">
                  <c:v>72.599999999999994</c:v>
                </c:pt>
                <c:pt idx="67">
                  <c:v>73.7</c:v>
                </c:pt>
                <c:pt idx="68">
                  <c:v>74.800000000000011</c:v>
                </c:pt>
                <c:pt idx="69">
                  <c:v>75.899999999999991</c:v>
                </c:pt>
                <c:pt idx="70">
                  <c:v>77</c:v>
                </c:pt>
                <c:pt idx="71">
                  <c:v>78.100000000000009</c:v>
                </c:pt>
                <c:pt idx="72">
                  <c:v>79.199999999999989</c:v>
                </c:pt>
                <c:pt idx="73">
                  <c:v>80.3</c:v>
                </c:pt>
                <c:pt idx="74">
                  <c:v>81.400000000000006</c:v>
                </c:pt>
                <c:pt idx="75">
                  <c:v>82.5</c:v>
                </c:pt>
                <c:pt idx="76">
                  <c:v>83.600000000000009</c:v>
                </c:pt>
                <c:pt idx="77">
                  <c:v>84.7</c:v>
                </c:pt>
                <c:pt idx="78">
                  <c:v>85.8</c:v>
                </c:pt>
                <c:pt idx="79">
                  <c:v>86.9</c:v>
                </c:pt>
                <c:pt idx="80">
                  <c:v>88.000000000000014</c:v>
                </c:pt>
                <c:pt idx="81">
                  <c:v>89.100000000000009</c:v>
                </c:pt>
                <c:pt idx="82">
                  <c:v>90.199999999999989</c:v>
                </c:pt>
                <c:pt idx="83">
                  <c:v>91.3</c:v>
                </c:pt>
                <c:pt idx="84">
                  <c:v>92.399999999999991</c:v>
                </c:pt>
                <c:pt idx="85">
                  <c:v>93.5</c:v>
                </c:pt>
                <c:pt idx="86">
                  <c:v>94.600000000000009</c:v>
                </c:pt>
                <c:pt idx="87">
                  <c:v>95.699999999999989</c:v>
                </c:pt>
                <c:pt idx="88">
                  <c:v>96.8</c:v>
                </c:pt>
                <c:pt idx="89">
                  <c:v>97.9</c:v>
                </c:pt>
                <c:pt idx="90">
                  <c:v>99</c:v>
                </c:pt>
                <c:pt idx="91">
                  <c:v>100.10000000000001</c:v>
                </c:pt>
                <c:pt idx="92">
                  <c:v>101.2</c:v>
                </c:pt>
                <c:pt idx="93">
                  <c:v>102.3</c:v>
                </c:pt>
                <c:pt idx="94">
                  <c:v>103.39999999999999</c:v>
                </c:pt>
                <c:pt idx="95">
                  <c:v>104.5</c:v>
                </c:pt>
                <c:pt idx="96">
                  <c:v>105.6</c:v>
                </c:pt>
                <c:pt idx="97">
                  <c:v>106.7</c:v>
                </c:pt>
                <c:pt idx="98">
                  <c:v>107.8</c:v>
                </c:pt>
                <c:pt idx="99">
                  <c:v>108.89999999999999</c:v>
                </c:pt>
                <c:pt idx="100">
                  <c:v>110</c:v>
                </c:pt>
              </c:numCache>
            </c:numRef>
          </c:cat>
          <c:val>
            <c:numRef>
              <c:f>'Calculations - Single'!$CD$5:$CD$105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1.1000000000000001</c:v>
                </c:pt>
                <c:pt idx="2">
                  <c:v>2.2000000000000002</c:v>
                </c:pt>
                <c:pt idx="3">
                  <c:v>3.3</c:v>
                </c:pt>
                <c:pt idx="4">
                  <c:v>4.4000000000000004</c:v>
                </c:pt>
                <c:pt idx="5">
                  <c:v>5.5000000000000009</c:v>
                </c:pt>
                <c:pt idx="6">
                  <c:v>6.6</c:v>
                </c:pt>
                <c:pt idx="7">
                  <c:v>7.7000000000000011</c:v>
                </c:pt>
                <c:pt idx="8">
                  <c:v>8.8000000000000007</c:v>
                </c:pt>
                <c:pt idx="9">
                  <c:v>9.8999999999999986</c:v>
                </c:pt>
                <c:pt idx="10">
                  <c:v>11.000000000000002</c:v>
                </c:pt>
                <c:pt idx="11">
                  <c:v>12.1</c:v>
                </c:pt>
                <c:pt idx="12">
                  <c:v>13.2</c:v>
                </c:pt>
                <c:pt idx="13">
                  <c:v>14.3</c:v>
                </c:pt>
                <c:pt idx="14">
                  <c:v>15.400000000000002</c:v>
                </c:pt>
                <c:pt idx="15">
                  <c:v>16.5</c:v>
                </c:pt>
                <c:pt idx="16">
                  <c:v>17.600000000000001</c:v>
                </c:pt>
                <c:pt idx="17">
                  <c:v>18.700000000000003</c:v>
                </c:pt>
                <c:pt idx="18">
                  <c:v>19.799999999999997</c:v>
                </c:pt>
                <c:pt idx="19">
                  <c:v>20.900000000000002</c:v>
                </c:pt>
                <c:pt idx="20">
                  <c:v>22.000000000000004</c:v>
                </c:pt>
                <c:pt idx="21">
                  <c:v>23.099999999999998</c:v>
                </c:pt>
                <c:pt idx="22">
                  <c:v>24.2</c:v>
                </c:pt>
                <c:pt idx="23">
                  <c:v>25.3</c:v>
                </c:pt>
                <c:pt idx="24">
                  <c:v>26.4</c:v>
                </c:pt>
                <c:pt idx="25">
                  <c:v>27.5</c:v>
                </c:pt>
                <c:pt idx="26">
                  <c:v>28.6</c:v>
                </c:pt>
                <c:pt idx="27">
                  <c:v>29.7</c:v>
                </c:pt>
                <c:pt idx="28">
                  <c:v>30.800000000000004</c:v>
                </c:pt>
                <c:pt idx="29">
                  <c:v>31.9</c:v>
                </c:pt>
                <c:pt idx="30">
                  <c:v>33</c:v>
                </c:pt>
                <c:pt idx="31">
                  <c:v>34.1</c:v>
                </c:pt>
                <c:pt idx="32">
                  <c:v>35.200000000000003</c:v>
                </c:pt>
                <c:pt idx="33">
                  <c:v>36.299999999999997</c:v>
                </c:pt>
                <c:pt idx="34">
                  <c:v>37.400000000000006</c:v>
                </c:pt>
                <c:pt idx="35">
                  <c:v>38.5</c:v>
                </c:pt>
                <c:pt idx="36">
                  <c:v>39.599999999999994</c:v>
                </c:pt>
                <c:pt idx="37">
                  <c:v>40.700000000000003</c:v>
                </c:pt>
                <c:pt idx="38">
                  <c:v>41.800000000000004</c:v>
                </c:pt>
                <c:pt idx="39">
                  <c:v>42.9</c:v>
                </c:pt>
                <c:pt idx="40">
                  <c:v>44.000000000000007</c:v>
                </c:pt>
                <c:pt idx="41">
                  <c:v>45.099999999999994</c:v>
                </c:pt>
                <c:pt idx="42">
                  <c:v>46.199999999999996</c:v>
                </c:pt>
                <c:pt idx="43">
                  <c:v>47.300000000000004</c:v>
                </c:pt>
                <c:pt idx="44">
                  <c:v>48.4</c:v>
                </c:pt>
                <c:pt idx="45">
                  <c:v>49.5</c:v>
                </c:pt>
                <c:pt idx="46">
                  <c:v>50.6</c:v>
                </c:pt>
                <c:pt idx="47">
                  <c:v>51.699999999999996</c:v>
                </c:pt>
                <c:pt idx="48">
                  <c:v>52.8</c:v>
                </c:pt>
                <c:pt idx="49">
                  <c:v>53.9</c:v>
                </c:pt>
                <c:pt idx="50">
                  <c:v>55</c:v>
                </c:pt>
                <c:pt idx="51">
                  <c:v>56.1</c:v>
                </c:pt>
                <c:pt idx="52">
                  <c:v>57.2</c:v>
                </c:pt>
                <c:pt idx="53">
                  <c:v>58.300000000000004</c:v>
                </c:pt>
                <c:pt idx="54">
                  <c:v>59.4</c:v>
                </c:pt>
                <c:pt idx="55">
                  <c:v>60.500000000000007</c:v>
                </c:pt>
                <c:pt idx="56">
                  <c:v>61.600000000000009</c:v>
                </c:pt>
                <c:pt idx="57">
                  <c:v>62.699999999999989</c:v>
                </c:pt>
                <c:pt idx="58">
                  <c:v>63.8</c:v>
                </c:pt>
                <c:pt idx="59">
                  <c:v>64.900000000000006</c:v>
                </c:pt>
                <c:pt idx="60">
                  <c:v>66</c:v>
                </c:pt>
                <c:pt idx="61">
                  <c:v>67.099999999999994</c:v>
                </c:pt>
                <c:pt idx="62">
                  <c:v>68.2</c:v>
                </c:pt>
                <c:pt idx="63">
                  <c:v>69.3</c:v>
                </c:pt>
                <c:pt idx="64">
                  <c:v>70.400000000000006</c:v>
                </c:pt>
                <c:pt idx="65">
                  <c:v>71.500000000000014</c:v>
                </c:pt>
                <c:pt idx="66">
                  <c:v>72.599999999999994</c:v>
                </c:pt>
                <c:pt idx="67">
                  <c:v>73.7</c:v>
                </c:pt>
                <c:pt idx="68">
                  <c:v>74.800000000000011</c:v>
                </c:pt>
                <c:pt idx="69">
                  <c:v>75.899999999999991</c:v>
                </c:pt>
                <c:pt idx="70">
                  <c:v>77</c:v>
                </c:pt>
                <c:pt idx="71">
                  <c:v>78.100000000000009</c:v>
                </c:pt>
                <c:pt idx="72">
                  <c:v>79.199999999999989</c:v>
                </c:pt>
                <c:pt idx="73">
                  <c:v>80.3</c:v>
                </c:pt>
                <c:pt idx="74">
                  <c:v>81.400000000000006</c:v>
                </c:pt>
                <c:pt idx="75">
                  <c:v>82.5</c:v>
                </c:pt>
                <c:pt idx="76">
                  <c:v>83.600000000000009</c:v>
                </c:pt>
                <c:pt idx="77">
                  <c:v>84.7</c:v>
                </c:pt>
                <c:pt idx="78">
                  <c:v>85.8</c:v>
                </c:pt>
                <c:pt idx="79">
                  <c:v>86.9</c:v>
                </c:pt>
                <c:pt idx="80">
                  <c:v>88.000000000000014</c:v>
                </c:pt>
                <c:pt idx="81">
                  <c:v>89.100000000000009</c:v>
                </c:pt>
                <c:pt idx="82">
                  <c:v>90.199999999999989</c:v>
                </c:pt>
                <c:pt idx="83">
                  <c:v>91.3</c:v>
                </c:pt>
                <c:pt idx="84">
                  <c:v>92.399999999999991</c:v>
                </c:pt>
                <c:pt idx="85">
                  <c:v>93.5</c:v>
                </c:pt>
                <c:pt idx="86">
                  <c:v>94.600000000000009</c:v>
                </c:pt>
                <c:pt idx="87">
                  <c:v>95.699999999999989</c:v>
                </c:pt>
                <c:pt idx="88">
                  <c:v>96.8</c:v>
                </c:pt>
                <c:pt idx="89">
                  <c:v>97.9</c:v>
                </c:pt>
                <c:pt idx="90">
                  <c:v>99</c:v>
                </c:pt>
                <c:pt idx="91">
                  <c:v>100.10000000000001</c:v>
                </c:pt>
                <c:pt idx="92">
                  <c:v>101.2</c:v>
                </c:pt>
                <c:pt idx="93">
                  <c:v>102.3</c:v>
                </c:pt>
                <c:pt idx="94">
                  <c:v>103.39999999999999</c:v>
                </c:pt>
                <c:pt idx="95">
                  <c:v>104.5</c:v>
                </c:pt>
                <c:pt idx="96">
                  <c:v>105.6</c:v>
                </c:pt>
                <c:pt idx="97">
                  <c:v>106.7</c:v>
                </c:pt>
                <c:pt idx="98">
                  <c:v>107.8</c:v>
                </c:pt>
                <c:pt idx="99">
                  <c:v>108.89999999999999</c:v>
                </c:pt>
                <c:pt idx="100">
                  <c:v>110</c:v>
                </c:pt>
              </c:numCache>
            </c:numRef>
          </c:cat>
          <c:val>
            <c:numRef>
              <c:f>'Calculations - Single'!$CD$216:$CD$316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dLbls>
          <c:showLegendKey val="0"/>
          <c:showVal val="0"/>
          <c:showCatName val="0"/>
          <c:showSerName val="0"/>
          <c:showPercent val="0"/>
          <c:showBubbleSize val="0"/>
        </c:dLbls>
        <c:marker val="1"/>
        <c:smooth val="0"/>
        <c:axId val="187467648"/>
        <c:axId val="187494784"/>
      </c:lineChart>
      <c:catAx>
        <c:axId val="187467648"/>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87494784"/>
        <c:crosses val="autoZero"/>
        <c:auto val="1"/>
        <c:lblAlgn val="ctr"/>
        <c:lblOffset val="100"/>
        <c:tickLblSkip val="20"/>
        <c:tickMarkSkip val="10"/>
        <c:noMultiLvlLbl val="0"/>
      </c:catAx>
      <c:valAx>
        <c:axId val="187494784"/>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87467648"/>
        <c:crossesAt val="0"/>
        <c:crossBetween val="between"/>
        <c:majorUnit val="50"/>
        <c:minorUnit val="25"/>
      </c:valAx>
      <c:spPr>
        <a:solidFill>
          <a:srgbClr val="FFFFFF"/>
        </a:solidFill>
        <a:ln w="25400">
          <a:noFill/>
        </a:ln>
      </c:spPr>
    </c:plotArea>
    <c:legend>
      <c:legendPos val="l"/>
      <c:legendEntry>
        <c:idx val="3"/>
        <c:delete val="1"/>
      </c:legendEntry>
      <c:legendEntry>
        <c:idx val="4"/>
        <c:delete val="1"/>
      </c:legendEntry>
      <c:legendEntry>
        <c:idx val="5"/>
        <c:delete val="1"/>
      </c:legendEntry>
      <c:layout>
        <c:manualLayout>
          <c:xMode val="edge"/>
          <c:yMode val="edge"/>
          <c:x val="0.14682981090100111"/>
          <c:y val="0.67041751876868938"/>
          <c:w val="0.13753070632578046"/>
          <c:h val="0.1749683688186130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9"/>
          <c:tx>
            <c:v>VIN-min</c:v>
          </c:tx>
          <c:spPr>
            <a:ln>
              <a:solidFill>
                <a:srgbClr val="00B050"/>
              </a:solidFill>
              <a:prstDash val="sysDash"/>
            </a:ln>
          </c:spPr>
          <c:marker>
            <c:symbol val="none"/>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19.000000000000004</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38.000000000000007</c:v>
                </c:pt>
                <c:pt idx="39">
                  <c:v>39</c:v>
                </c:pt>
                <c:pt idx="40">
                  <c:v>40</c:v>
                </c:pt>
                <c:pt idx="41">
                  <c:v>40.999999999999993</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71.000000000000014</c:v>
                </c:pt>
                <c:pt idx="72">
                  <c:v>72</c:v>
                </c:pt>
                <c:pt idx="73">
                  <c:v>73</c:v>
                </c:pt>
                <c:pt idx="74">
                  <c:v>74</c:v>
                </c:pt>
                <c:pt idx="75">
                  <c:v>75</c:v>
                </c:pt>
                <c:pt idx="76">
                  <c:v>76.000000000000014</c:v>
                </c:pt>
                <c:pt idx="77">
                  <c:v>77</c:v>
                </c:pt>
                <c:pt idx="78">
                  <c:v>78</c:v>
                </c:pt>
                <c:pt idx="79">
                  <c:v>79</c:v>
                </c:pt>
                <c:pt idx="80">
                  <c:v>80</c:v>
                </c:pt>
                <c:pt idx="81">
                  <c:v>81.000000000000014</c:v>
                </c:pt>
                <c:pt idx="82">
                  <c:v>81.999999999999986</c:v>
                </c:pt>
                <c:pt idx="83">
                  <c:v>83</c:v>
                </c:pt>
                <c:pt idx="84">
                  <c:v>84</c:v>
                </c:pt>
                <c:pt idx="85">
                  <c:v>85</c:v>
                </c:pt>
                <c:pt idx="86">
                  <c:v>86</c:v>
                </c:pt>
                <c:pt idx="87">
                  <c:v>86.999999999999986</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13.497103245882563</c:v>
                </c:pt>
                <c:pt idx="2">
                  <c:v>26.994206491765127</c:v>
                </c:pt>
                <c:pt idx="3">
                  <c:v>40.491309737647697</c:v>
                </c:pt>
                <c:pt idx="4">
                  <c:v>53.988412983530253</c:v>
                </c:pt>
                <c:pt idx="5">
                  <c:v>67.485516229412823</c:v>
                </c:pt>
                <c:pt idx="6">
                  <c:v>80.982619475295394</c:v>
                </c:pt>
                <c:pt idx="7">
                  <c:v>94.479722721177964</c:v>
                </c:pt>
                <c:pt idx="8">
                  <c:v>107.97682596706051</c:v>
                </c:pt>
                <c:pt idx="9">
                  <c:v>121.47392921294306</c:v>
                </c:pt>
                <c:pt idx="10">
                  <c:v>134.97103245882565</c:v>
                </c:pt>
                <c:pt idx="11">
                  <c:v>148.4681357047082</c:v>
                </c:pt>
                <c:pt idx="12">
                  <c:v>161.96523895059079</c:v>
                </c:pt>
                <c:pt idx="13">
                  <c:v>175.46234219647332</c:v>
                </c:pt>
                <c:pt idx="14">
                  <c:v>188.95944544235593</c:v>
                </c:pt>
                <c:pt idx="15">
                  <c:v>202.45654868823843</c:v>
                </c:pt>
                <c:pt idx="16">
                  <c:v>215.95365193412101</c:v>
                </c:pt>
                <c:pt idx="17">
                  <c:v>229.45075518000363</c:v>
                </c:pt>
                <c:pt idx="18">
                  <c:v>242.94785842588612</c:v>
                </c:pt>
                <c:pt idx="19">
                  <c:v>256.44496167176874</c:v>
                </c:pt>
                <c:pt idx="20">
                  <c:v>269.94206491765129</c:v>
                </c:pt>
                <c:pt idx="21">
                  <c:v>283.43916816353385</c:v>
                </c:pt>
                <c:pt idx="22">
                  <c:v>296.93627140941641</c:v>
                </c:pt>
                <c:pt idx="23">
                  <c:v>310.43337465529896</c:v>
                </c:pt>
                <c:pt idx="24">
                  <c:v>323.93047790118158</c:v>
                </c:pt>
                <c:pt idx="25">
                  <c:v>337.42758114706413</c:v>
                </c:pt>
                <c:pt idx="26">
                  <c:v>350</c:v>
                </c:pt>
                <c:pt idx="27">
                  <c:v>350</c:v>
                </c:pt>
                <c:pt idx="28">
                  <c:v>350</c:v>
                </c:pt>
                <c:pt idx="29">
                  <c:v>346.63271722205837</c:v>
                </c:pt>
                <c:pt idx="30">
                  <c:v>335.07829331465632</c:v>
                </c:pt>
                <c:pt idx="31">
                  <c:v>324.26931611095785</c:v>
                </c:pt>
                <c:pt idx="32">
                  <c:v>314.13589998249029</c:v>
                </c:pt>
                <c:pt idx="33">
                  <c:v>304.6166302860513</c:v>
                </c:pt>
                <c:pt idx="34">
                  <c:v>295.6573176305792</c:v>
                </c:pt>
                <c:pt idx="35">
                  <c:v>287.20996569827696</c:v>
                </c:pt>
                <c:pt idx="36">
                  <c:v>279.23191109554699</c:v>
                </c:pt>
                <c:pt idx="37">
                  <c:v>271.68510268755927</c:v>
                </c:pt>
                <c:pt idx="38">
                  <c:v>264.5354947220971</c:v>
                </c:pt>
                <c:pt idx="39">
                  <c:v>257.75253331896641</c:v>
                </c:pt>
                <c:pt idx="40">
                  <c:v>251.3087199859923</c:v>
                </c:pt>
                <c:pt idx="41">
                  <c:v>245.17923901072416</c:v>
                </c:pt>
                <c:pt idx="42">
                  <c:v>239.34163808189746</c:v>
                </c:pt>
                <c:pt idx="43">
                  <c:v>233.77555347534164</c:v>
                </c:pt>
                <c:pt idx="44">
                  <c:v>228.46247271453842</c:v>
                </c:pt>
                <c:pt idx="45">
                  <c:v>223.38552887643755</c:v>
                </c:pt>
                <c:pt idx="46">
                  <c:v>218.52932172694977</c:v>
                </c:pt>
                <c:pt idx="47">
                  <c:v>213.87976169020615</c:v>
                </c:pt>
                <c:pt idx="48">
                  <c:v>209.42393332166023</c:v>
                </c:pt>
                <c:pt idx="49">
                  <c:v>205.14997549876924</c:v>
                </c:pt>
                <c:pt idx="50">
                  <c:v>201.0469759887938</c:v>
                </c:pt>
                <c:pt idx="51">
                  <c:v>197.10487842038606</c:v>
                </c:pt>
                <c:pt idx="52">
                  <c:v>193.31439998922485</c:v>
                </c:pt>
                <c:pt idx="53">
                  <c:v>189.66695847999415</c:v>
                </c:pt>
                <c:pt idx="54">
                  <c:v>186.1546073970313</c:v>
                </c:pt>
                <c:pt idx="55">
                  <c:v>182.76997817163073</c:v>
                </c:pt>
                <c:pt idx="56">
                  <c:v>179.50622856142303</c:v>
                </c:pt>
                <c:pt idx="57">
                  <c:v>176.35699648139808</c:v>
                </c:pt>
                <c:pt idx="58">
                  <c:v>173.31635861102919</c:v>
                </c:pt>
                <c:pt idx="59">
                  <c:v>170.37879321084228</c:v>
                </c:pt>
                <c:pt idx="60">
                  <c:v>167.53914665732816</c:v>
                </c:pt>
                <c:pt idx="61">
                  <c:v>164.79260326950316</c:v>
                </c:pt>
                <c:pt idx="62">
                  <c:v>162.13465805547892</c:v>
                </c:pt>
                <c:pt idx="63">
                  <c:v>159.56109205459828</c:v>
                </c:pt>
                <c:pt idx="64">
                  <c:v>157.06794999124514</c:v>
                </c:pt>
                <c:pt idx="65">
                  <c:v>154.65151999137984</c:v>
                </c:pt>
                <c:pt idx="66">
                  <c:v>152.30831514302565</c:v>
                </c:pt>
                <c:pt idx="67">
                  <c:v>150.03505670805512</c:v>
                </c:pt>
                <c:pt idx="68">
                  <c:v>147.8286588152896</c:v>
                </c:pt>
                <c:pt idx="69">
                  <c:v>145.68621448463321</c:v>
                </c:pt>
                <c:pt idx="70">
                  <c:v>143.60498284913848</c:v>
                </c:pt>
                <c:pt idx="71">
                  <c:v>141.58237745689709</c:v>
                </c:pt>
                <c:pt idx="72">
                  <c:v>139.6159555477735</c:v>
                </c:pt>
                <c:pt idx="73">
                  <c:v>137.70340821150262</c:v>
                </c:pt>
                <c:pt idx="74">
                  <c:v>135.84255134377963</c:v>
                </c:pt>
                <c:pt idx="75">
                  <c:v>134.03131732586252</c:v>
                </c:pt>
                <c:pt idx="76">
                  <c:v>132.26774736104855</c:v>
                </c:pt>
                <c:pt idx="77">
                  <c:v>130.54998440830767</c:v>
                </c:pt>
                <c:pt idx="78">
                  <c:v>128.87626665948321</c:v>
                </c:pt>
                <c:pt idx="79">
                  <c:v>127.24492151189482</c:v>
                </c:pt>
                <c:pt idx="80">
                  <c:v>125.65435999299615</c:v>
                </c:pt>
                <c:pt idx="81">
                  <c:v>124.10307159802083</c:v>
                </c:pt>
                <c:pt idx="82">
                  <c:v>122.58961950536208</c:v>
                </c:pt>
                <c:pt idx="83">
                  <c:v>121.11263613782762</c:v>
                </c:pt>
                <c:pt idx="84">
                  <c:v>119.67081904094873</c:v>
                </c:pt>
                <c:pt idx="85">
                  <c:v>118.26292705223166</c:v>
                </c:pt>
                <c:pt idx="86">
                  <c:v>116.88777673767082</c:v>
                </c:pt>
                <c:pt idx="87">
                  <c:v>115.54423907401942</c:v>
                </c:pt>
                <c:pt idx="88">
                  <c:v>114.23123635726921</c:v>
                </c:pt>
                <c:pt idx="89">
                  <c:v>112.94773931954708</c:v>
                </c:pt>
                <c:pt idx="90">
                  <c:v>111.69276443821877</c:v>
                </c:pt>
                <c:pt idx="91">
                  <c:v>110.46537142241418</c:v>
                </c:pt>
                <c:pt idx="92">
                  <c:v>109.26466086347489</c:v>
                </c:pt>
                <c:pt idx="93">
                  <c:v>108.08977203698592</c:v>
                </c:pt>
                <c:pt idx="94">
                  <c:v>106.93988084510308</c:v>
                </c:pt>
                <c:pt idx="95">
                  <c:v>105.81419788883886</c:v>
                </c:pt>
                <c:pt idx="96">
                  <c:v>104.71196666083011</c:v>
                </c:pt>
                <c:pt idx="97">
                  <c:v>103.81741568073944</c:v>
                </c:pt>
                <c:pt idx="98">
                  <c:v>103.50856460941682</c:v>
                </c:pt>
                <c:pt idx="99">
                  <c:v>103.20161093218742</c:v>
                </c:pt>
                <c:pt idx="100">
                  <c:v>102.89653721793259</c:v>
                </c:pt>
              </c:numCache>
            </c:numRef>
          </c:val>
          <c:smooth val="0"/>
        </c:ser>
        <c:ser>
          <c:idx val="10"/>
          <c:order val="10"/>
          <c:tx>
            <c:v>VIN-nom</c:v>
          </c:tx>
          <c:spPr>
            <a:ln w="28575">
              <a:solidFill>
                <a:srgbClr val="0000FF"/>
              </a:solidFill>
              <a:prstDash val="lgDash"/>
            </a:ln>
          </c:spPr>
          <c:marker>
            <c:symbol val="none"/>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19.000000000000004</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38.000000000000007</c:v>
                </c:pt>
                <c:pt idx="39">
                  <c:v>39</c:v>
                </c:pt>
                <c:pt idx="40">
                  <c:v>40</c:v>
                </c:pt>
                <c:pt idx="41">
                  <c:v>40.999999999999993</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71.000000000000014</c:v>
                </c:pt>
                <c:pt idx="72">
                  <c:v>72</c:v>
                </c:pt>
                <c:pt idx="73">
                  <c:v>73</c:v>
                </c:pt>
                <c:pt idx="74">
                  <c:v>74</c:v>
                </c:pt>
                <c:pt idx="75">
                  <c:v>75</c:v>
                </c:pt>
                <c:pt idx="76">
                  <c:v>76.000000000000014</c:v>
                </c:pt>
                <c:pt idx="77">
                  <c:v>77</c:v>
                </c:pt>
                <c:pt idx="78">
                  <c:v>78</c:v>
                </c:pt>
                <c:pt idx="79">
                  <c:v>79</c:v>
                </c:pt>
                <c:pt idx="80">
                  <c:v>80</c:v>
                </c:pt>
                <c:pt idx="81">
                  <c:v>81.000000000000014</c:v>
                </c:pt>
                <c:pt idx="82">
                  <c:v>81.999999999999986</c:v>
                </c:pt>
                <c:pt idx="83">
                  <c:v>83</c:v>
                </c:pt>
                <c:pt idx="84">
                  <c:v>84</c:v>
                </c:pt>
                <c:pt idx="85">
                  <c:v>85</c:v>
                </c:pt>
                <c:pt idx="86">
                  <c:v>86</c:v>
                </c:pt>
                <c:pt idx="87">
                  <c:v>86.999999999999986</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13.497103245882563</c:v>
                </c:pt>
                <c:pt idx="2">
                  <c:v>26.994206491765127</c:v>
                </c:pt>
                <c:pt idx="3">
                  <c:v>40.491309737647697</c:v>
                </c:pt>
                <c:pt idx="4">
                  <c:v>53.988412983530253</c:v>
                </c:pt>
                <c:pt idx="5">
                  <c:v>67.485516229412823</c:v>
                </c:pt>
                <c:pt idx="6">
                  <c:v>80.982619475295394</c:v>
                </c:pt>
                <c:pt idx="7">
                  <c:v>94.479722721177964</c:v>
                </c:pt>
                <c:pt idx="8">
                  <c:v>107.97682596706051</c:v>
                </c:pt>
                <c:pt idx="9">
                  <c:v>121.47392921294306</c:v>
                </c:pt>
                <c:pt idx="10">
                  <c:v>134.97103245882565</c:v>
                </c:pt>
                <c:pt idx="11">
                  <c:v>148.4681357047082</c:v>
                </c:pt>
                <c:pt idx="12">
                  <c:v>161.96523895059079</c:v>
                </c:pt>
                <c:pt idx="13">
                  <c:v>175.46234219647332</c:v>
                </c:pt>
                <c:pt idx="14">
                  <c:v>188.95944544235593</c:v>
                </c:pt>
                <c:pt idx="15">
                  <c:v>202.45654868823843</c:v>
                </c:pt>
                <c:pt idx="16">
                  <c:v>215.95365193412101</c:v>
                </c:pt>
                <c:pt idx="17">
                  <c:v>229.45075518000363</c:v>
                </c:pt>
                <c:pt idx="18">
                  <c:v>242.94785842588612</c:v>
                </c:pt>
                <c:pt idx="19">
                  <c:v>256.44496167176874</c:v>
                </c:pt>
                <c:pt idx="20">
                  <c:v>269.94206491765129</c:v>
                </c:pt>
                <c:pt idx="21">
                  <c:v>283.43916816353385</c:v>
                </c:pt>
                <c:pt idx="22">
                  <c:v>296.93627140941641</c:v>
                </c:pt>
                <c:pt idx="23">
                  <c:v>310.43337465529896</c:v>
                </c:pt>
                <c:pt idx="24">
                  <c:v>323.93047790118158</c:v>
                </c:pt>
                <c:pt idx="25">
                  <c:v>337.42758114706413</c:v>
                </c:pt>
                <c:pt idx="26">
                  <c:v>350</c:v>
                </c:pt>
                <c:pt idx="27">
                  <c:v>350</c:v>
                </c:pt>
                <c:pt idx="28">
                  <c:v>350</c:v>
                </c:pt>
                <c:pt idx="29">
                  <c:v>350</c:v>
                </c:pt>
                <c:pt idx="30">
                  <c:v>350</c:v>
                </c:pt>
                <c:pt idx="31">
                  <c:v>350</c:v>
                </c:pt>
                <c:pt idx="32">
                  <c:v>350</c:v>
                </c:pt>
                <c:pt idx="33">
                  <c:v>350</c:v>
                </c:pt>
                <c:pt idx="34">
                  <c:v>350</c:v>
                </c:pt>
                <c:pt idx="35">
                  <c:v>350</c:v>
                </c:pt>
                <c:pt idx="36">
                  <c:v>350</c:v>
                </c:pt>
                <c:pt idx="37">
                  <c:v>349.24761364916196</c:v>
                </c:pt>
                <c:pt idx="38">
                  <c:v>340.0568869741839</c:v>
                </c:pt>
                <c:pt idx="39">
                  <c:v>331.33747961587153</c:v>
                </c:pt>
                <c:pt idx="40">
                  <c:v>323.05404262547478</c:v>
                </c:pt>
                <c:pt idx="41">
                  <c:v>315.17467573217056</c:v>
                </c:pt>
                <c:pt idx="42">
                  <c:v>307.67051678616644</c:v>
                </c:pt>
                <c:pt idx="43">
                  <c:v>300.51538848881376</c:v>
                </c:pt>
                <c:pt idx="44">
                  <c:v>293.68549329588615</c:v>
                </c:pt>
                <c:pt idx="45">
                  <c:v>287.15914900042208</c:v>
                </c:pt>
                <c:pt idx="46">
                  <c:v>280.91655880476071</c:v>
                </c:pt>
                <c:pt idx="47">
                  <c:v>274.93961074508496</c:v>
                </c:pt>
                <c:pt idx="48">
                  <c:v>269.2117021878957</c:v>
                </c:pt>
                <c:pt idx="49">
                  <c:v>263.71758581671412</c:v>
                </c:pt>
                <c:pt idx="50">
                  <c:v>258.44323410037975</c:v>
                </c:pt>
                <c:pt idx="51">
                  <c:v>253.37571970625467</c:v>
                </c:pt>
                <c:pt idx="52">
                  <c:v>248.50310971190373</c:v>
                </c:pt>
                <c:pt idx="53">
                  <c:v>243.81437179281119</c:v>
                </c:pt>
                <c:pt idx="54">
                  <c:v>239.29929083368492</c:v>
                </c:pt>
                <c:pt idx="55">
                  <c:v>234.94839463670894</c:v>
                </c:pt>
                <c:pt idx="56">
                  <c:v>230.75288758962478</c:v>
                </c:pt>
                <c:pt idx="57">
                  <c:v>226.70459131612265</c:v>
                </c:pt>
                <c:pt idx="58">
                  <c:v>222.79589146584473</c:v>
                </c:pt>
                <c:pt idx="59">
                  <c:v>219.01968991557615</c:v>
                </c:pt>
                <c:pt idx="60">
                  <c:v>215.36936175031653</c:v>
                </c:pt>
                <c:pt idx="61">
                  <c:v>211.83871647572118</c:v>
                </c:pt>
                <c:pt idx="62">
                  <c:v>208.42196298417733</c:v>
                </c:pt>
                <c:pt idx="63">
                  <c:v>205.11367785744432</c:v>
                </c:pt>
                <c:pt idx="64">
                  <c:v>201.90877664092173</c:v>
                </c:pt>
                <c:pt idx="65">
                  <c:v>198.80248776952291</c:v>
                </c:pt>
                <c:pt idx="66">
                  <c:v>195.79032886392412</c:v>
                </c:pt>
                <c:pt idx="67">
                  <c:v>192.86808514953719</c:v>
                </c:pt>
                <c:pt idx="68">
                  <c:v>190.03178977969108</c:v>
                </c:pt>
                <c:pt idx="69">
                  <c:v>187.27770586984047</c:v>
                </c:pt>
                <c:pt idx="70">
                  <c:v>184.60231007169992</c:v>
                </c:pt>
                <c:pt idx="71">
                  <c:v>182.00227753547875</c:v>
                </c:pt>
                <c:pt idx="72">
                  <c:v>179.4744681252638</c:v>
                </c:pt>
                <c:pt idx="73">
                  <c:v>177.01591376738347</c:v>
                </c:pt>
                <c:pt idx="74">
                  <c:v>174.62380682458098</c:v>
                </c:pt>
                <c:pt idx="75">
                  <c:v>172.29548940025325</c:v>
                </c:pt>
                <c:pt idx="76">
                  <c:v>170.02844348709195</c:v>
                </c:pt>
                <c:pt idx="77">
                  <c:v>167.82028188336352</c:v>
                </c:pt>
                <c:pt idx="78">
                  <c:v>165.66873980793576</c:v>
                </c:pt>
                <c:pt idx="79">
                  <c:v>163.57166715213907</c:v>
                </c:pt>
                <c:pt idx="80">
                  <c:v>161.52702131273739</c:v>
                </c:pt>
                <c:pt idx="81">
                  <c:v>159.53286055578997</c:v>
                </c:pt>
                <c:pt idx="82">
                  <c:v>157.58733786608528</c:v>
                </c:pt>
                <c:pt idx="83">
                  <c:v>155.6886952411927</c:v>
                </c:pt>
                <c:pt idx="84">
                  <c:v>153.83525839308322</c:v>
                </c:pt>
                <c:pt idx="85">
                  <c:v>152.02543182375285</c:v>
                </c:pt>
                <c:pt idx="86">
                  <c:v>150.25769424440688</c:v>
                </c:pt>
                <c:pt idx="87">
                  <c:v>148.53059431056315</c:v>
                </c:pt>
                <c:pt idx="88">
                  <c:v>146.84274664794307</c:v>
                </c:pt>
                <c:pt idx="89">
                  <c:v>145.19282814628082</c:v>
                </c:pt>
                <c:pt idx="90">
                  <c:v>143.57957450021104</c:v>
                </c:pt>
                <c:pt idx="91">
                  <c:v>142.00177697823068</c:v>
                </c:pt>
                <c:pt idx="92">
                  <c:v>140.45827940238036</c:v>
                </c:pt>
                <c:pt idx="93">
                  <c:v>138.94797532278486</c:v>
                </c:pt>
                <c:pt idx="94">
                  <c:v>137.46980537254248</c:v>
                </c:pt>
                <c:pt idx="95">
                  <c:v>136.02275478967357</c:v>
                </c:pt>
                <c:pt idx="96">
                  <c:v>134.60585109394785</c:v>
                </c:pt>
                <c:pt idx="97">
                  <c:v>133.21816190741225</c:v>
                </c:pt>
                <c:pt idx="98">
                  <c:v>131.85879290835706</c:v>
                </c:pt>
                <c:pt idx="99">
                  <c:v>130.52688590928273</c:v>
                </c:pt>
                <c:pt idx="100">
                  <c:v>129.22161705018988</c:v>
                </c:pt>
              </c:numCache>
            </c:numRef>
          </c:val>
          <c:smooth val="0"/>
        </c:ser>
        <c:ser>
          <c:idx val="11"/>
          <c:order val="11"/>
          <c:tx>
            <c:v>VIN-max</c:v>
          </c:tx>
          <c:spPr>
            <a:ln>
              <a:solidFill>
                <a:srgbClr val="FF0000"/>
              </a:solidFill>
              <a:prstDash val="solid"/>
            </a:ln>
          </c:spPr>
          <c:marker>
            <c:symbol val="none"/>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19.000000000000004</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38.000000000000007</c:v>
                </c:pt>
                <c:pt idx="39">
                  <c:v>39</c:v>
                </c:pt>
                <c:pt idx="40">
                  <c:v>40</c:v>
                </c:pt>
                <c:pt idx="41">
                  <c:v>40.999999999999993</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71.000000000000014</c:v>
                </c:pt>
                <c:pt idx="72">
                  <c:v>72</c:v>
                </c:pt>
                <c:pt idx="73">
                  <c:v>73</c:v>
                </c:pt>
                <c:pt idx="74">
                  <c:v>74</c:v>
                </c:pt>
                <c:pt idx="75">
                  <c:v>75</c:v>
                </c:pt>
                <c:pt idx="76">
                  <c:v>76.000000000000014</c:v>
                </c:pt>
                <c:pt idx="77">
                  <c:v>77</c:v>
                </c:pt>
                <c:pt idx="78">
                  <c:v>78</c:v>
                </c:pt>
                <c:pt idx="79">
                  <c:v>79</c:v>
                </c:pt>
                <c:pt idx="80">
                  <c:v>80</c:v>
                </c:pt>
                <c:pt idx="81">
                  <c:v>81.000000000000014</c:v>
                </c:pt>
                <c:pt idx="82">
                  <c:v>81.999999999999986</c:v>
                </c:pt>
                <c:pt idx="83">
                  <c:v>83</c:v>
                </c:pt>
                <c:pt idx="84">
                  <c:v>84</c:v>
                </c:pt>
                <c:pt idx="85">
                  <c:v>85</c:v>
                </c:pt>
                <c:pt idx="86">
                  <c:v>86</c:v>
                </c:pt>
                <c:pt idx="87">
                  <c:v>86.999999999999986</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13.497103245882563</c:v>
                </c:pt>
                <c:pt idx="2">
                  <c:v>26.994206491765127</c:v>
                </c:pt>
                <c:pt idx="3">
                  <c:v>40.491309737647697</c:v>
                </c:pt>
                <c:pt idx="4">
                  <c:v>53.988412983530253</c:v>
                </c:pt>
                <c:pt idx="5">
                  <c:v>67.485516229412823</c:v>
                </c:pt>
                <c:pt idx="6">
                  <c:v>80.982619475295394</c:v>
                </c:pt>
                <c:pt idx="7">
                  <c:v>94.479722721177964</c:v>
                </c:pt>
                <c:pt idx="8">
                  <c:v>107.97682596706051</c:v>
                </c:pt>
                <c:pt idx="9">
                  <c:v>121.47392921294306</c:v>
                </c:pt>
                <c:pt idx="10">
                  <c:v>134.97103245882565</c:v>
                </c:pt>
                <c:pt idx="11">
                  <c:v>148.4681357047082</c:v>
                </c:pt>
                <c:pt idx="12">
                  <c:v>161.96523895059079</c:v>
                </c:pt>
                <c:pt idx="13">
                  <c:v>175.46234219647332</c:v>
                </c:pt>
                <c:pt idx="14">
                  <c:v>188.95944544235593</c:v>
                </c:pt>
                <c:pt idx="15">
                  <c:v>202.45654868823843</c:v>
                </c:pt>
                <c:pt idx="16">
                  <c:v>215.95365193412101</c:v>
                </c:pt>
                <c:pt idx="17">
                  <c:v>229.45075518000363</c:v>
                </c:pt>
                <c:pt idx="18">
                  <c:v>242.94785842588612</c:v>
                </c:pt>
                <c:pt idx="19">
                  <c:v>256.44496167176874</c:v>
                </c:pt>
                <c:pt idx="20">
                  <c:v>269.94206491765129</c:v>
                </c:pt>
                <c:pt idx="21">
                  <c:v>283.43916816353385</c:v>
                </c:pt>
                <c:pt idx="22">
                  <c:v>296.93627140941641</c:v>
                </c:pt>
                <c:pt idx="23">
                  <c:v>310.43337465529896</c:v>
                </c:pt>
                <c:pt idx="24">
                  <c:v>323.93047790118158</c:v>
                </c:pt>
                <c:pt idx="25">
                  <c:v>337.42758114706413</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344.44659246828502</c:v>
                </c:pt>
                <c:pt idx="51">
                  <c:v>337.69273771400492</c:v>
                </c:pt>
                <c:pt idx="52">
                  <c:v>331.19864660412026</c:v>
                </c:pt>
                <c:pt idx="53">
                  <c:v>324.94961553611802</c:v>
                </c:pt>
                <c:pt idx="54">
                  <c:v>318.93203006322688</c:v>
                </c:pt>
                <c:pt idx="55">
                  <c:v>313.13326588025916</c:v>
                </c:pt>
                <c:pt idx="56">
                  <c:v>307.54160041811167</c:v>
                </c:pt>
                <c:pt idx="57">
                  <c:v>302.1461337441097</c:v>
                </c:pt>
                <c:pt idx="58">
                  <c:v>296.93671764507337</c:v>
                </c:pt>
                <c:pt idx="59">
                  <c:v>291.90389192227548</c:v>
                </c:pt>
                <c:pt idx="60">
                  <c:v>287.03882705690427</c:v>
                </c:pt>
                <c:pt idx="61">
                  <c:v>282.33327251498775</c:v>
                </c:pt>
                <c:pt idx="62">
                  <c:v>277.77951005506861</c:v>
                </c:pt>
                <c:pt idx="63">
                  <c:v>273.37031148276594</c:v>
                </c:pt>
                <c:pt idx="64">
                  <c:v>269.09890036584767</c:v>
                </c:pt>
                <c:pt idx="65">
                  <c:v>264.95891728329616</c:v>
                </c:pt>
                <c:pt idx="66">
                  <c:v>260.94438823354926</c:v>
                </c:pt>
                <c:pt idx="67">
                  <c:v>257.04969587185451</c:v>
                </c:pt>
                <c:pt idx="68">
                  <c:v>253.26955328550372</c:v>
                </c:pt>
                <c:pt idx="69">
                  <c:v>249.59898004948198</c:v>
                </c:pt>
                <c:pt idx="70">
                  <c:v>246.03328033448938</c:v>
                </c:pt>
                <c:pt idx="71">
                  <c:v>242.56802286498956</c:v>
                </c:pt>
                <c:pt idx="72">
                  <c:v>239.19902254742018</c:v>
                </c:pt>
                <c:pt idx="73">
                  <c:v>235.92232360841447</c:v>
                </c:pt>
                <c:pt idx="74">
                  <c:v>232.73418410019266</c:v>
                </c:pt>
                <c:pt idx="75">
                  <c:v>229.63106164552332</c:v>
                </c:pt>
                <c:pt idx="76">
                  <c:v>226.60960030808229</c:v>
                </c:pt>
                <c:pt idx="77">
                  <c:v>223.66661848589936</c:v>
                </c:pt>
                <c:pt idx="78">
                  <c:v>220.79909773608014</c:v>
                </c:pt>
                <c:pt idx="79">
                  <c:v>218.00417244828165</c:v>
                </c:pt>
                <c:pt idx="80">
                  <c:v>215.27912029267819</c:v>
                </c:pt>
                <c:pt idx="81">
                  <c:v>212.6213533754846</c:v>
                </c:pt>
                <c:pt idx="82">
                  <c:v>210.02841004163724</c:v>
                </c:pt>
                <c:pt idx="83">
                  <c:v>207.4979472700513</c:v>
                </c:pt>
                <c:pt idx="84">
                  <c:v>205.02773361207446</c:v>
                </c:pt>
                <c:pt idx="85">
                  <c:v>202.61564262840301</c:v>
                </c:pt>
                <c:pt idx="86">
                  <c:v>200.25964678388669</c:v>
                </c:pt>
                <c:pt idx="87">
                  <c:v>197.95781176338224</c:v>
                </c:pt>
                <c:pt idx="88">
                  <c:v>195.708291175162</c:v>
                </c:pt>
                <c:pt idx="89">
                  <c:v>193.50932161139613</c:v>
                </c:pt>
                <c:pt idx="90">
                  <c:v>191.35921803793613</c:v>
                </c:pt>
                <c:pt idx="91">
                  <c:v>189.25636948806874</c:v>
                </c:pt>
                <c:pt idx="92">
                  <c:v>187.19923503711146</c:v>
                </c:pt>
                <c:pt idx="93">
                  <c:v>185.18634003671241</c:v>
                </c:pt>
                <c:pt idx="94">
                  <c:v>183.21627258951338</c:v>
                </c:pt>
                <c:pt idx="95">
                  <c:v>181.28768024646584</c:v>
                </c:pt>
                <c:pt idx="96">
                  <c:v>179.39926691056513</c:v>
                </c:pt>
                <c:pt idx="97">
                  <c:v>177.54978993210571</c:v>
                </c:pt>
                <c:pt idx="98">
                  <c:v>175.73805738177813</c:v>
                </c:pt>
                <c:pt idx="99">
                  <c:v>173.96292548903287</c:v>
                </c:pt>
                <c:pt idx="100">
                  <c:v>172.22329623414251</c:v>
                </c:pt>
              </c:numCache>
            </c:numRef>
          </c:val>
          <c:smooth val="0"/>
        </c:ser>
        <c:ser>
          <c:idx val="12"/>
          <c:order val="12"/>
          <c:spPr>
            <a:ln>
              <a:noFill/>
            </a:ln>
          </c:spPr>
          <c:marker>
            <c:symbol val="none"/>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19.000000000000004</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38.000000000000007</c:v>
                </c:pt>
                <c:pt idx="39">
                  <c:v>39</c:v>
                </c:pt>
                <c:pt idx="40">
                  <c:v>40</c:v>
                </c:pt>
                <c:pt idx="41">
                  <c:v>40.999999999999993</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71.000000000000014</c:v>
                </c:pt>
                <c:pt idx="72">
                  <c:v>72</c:v>
                </c:pt>
                <c:pt idx="73">
                  <c:v>73</c:v>
                </c:pt>
                <c:pt idx="74">
                  <c:v>74</c:v>
                </c:pt>
                <c:pt idx="75">
                  <c:v>75</c:v>
                </c:pt>
                <c:pt idx="76">
                  <c:v>76.000000000000014</c:v>
                </c:pt>
                <c:pt idx="77">
                  <c:v>77</c:v>
                </c:pt>
                <c:pt idx="78">
                  <c:v>78</c:v>
                </c:pt>
                <c:pt idx="79">
                  <c:v>79</c:v>
                </c:pt>
                <c:pt idx="80">
                  <c:v>80</c:v>
                </c:pt>
                <c:pt idx="81">
                  <c:v>81.000000000000014</c:v>
                </c:pt>
                <c:pt idx="82">
                  <c:v>81.999999999999986</c:v>
                </c:pt>
                <c:pt idx="83">
                  <c:v>83</c:v>
                </c:pt>
                <c:pt idx="84">
                  <c:v>84</c:v>
                </c:pt>
                <c:pt idx="85">
                  <c:v>85</c:v>
                </c:pt>
                <c:pt idx="86">
                  <c:v>86</c:v>
                </c:pt>
                <c:pt idx="87">
                  <c:v>86.999999999999986</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Dual'!$CD$110:$CD$210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103.81741568073944</c:v>
                </c:pt>
                <c:pt idx="98">
                  <c:v>-50</c:v>
                </c:pt>
                <c:pt idx="99">
                  <c:v>-50</c:v>
                </c:pt>
                <c:pt idx="100">
                  <c:v>-50</c:v>
                </c:pt>
              </c:numCache>
            </c:numRef>
          </c:val>
          <c:smooth val="0"/>
        </c:ser>
        <c:ser>
          <c:idx val="13"/>
          <c:order val="13"/>
          <c:spPr>
            <a:ln>
              <a:noFill/>
            </a:ln>
          </c:spPr>
          <c:marker>
            <c:symbol val="none"/>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19.000000000000004</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38.000000000000007</c:v>
                </c:pt>
                <c:pt idx="39">
                  <c:v>39</c:v>
                </c:pt>
                <c:pt idx="40">
                  <c:v>40</c:v>
                </c:pt>
                <c:pt idx="41">
                  <c:v>40.999999999999993</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71.000000000000014</c:v>
                </c:pt>
                <c:pt idx="72">
                  <c:v>72</c:v>
                </c:pt>
                <c:pt idx="73">
                  <c:v>73</c:v>
                </c:pt>
                <c:pt idx="74">
                  <c:v>74</c:v>
                </c:pt>
                <c:pt idx="75">
                  <c:v>75</c:v>
                </c:pt>
                <c:pt idx="76">
                  <c:v>76.000000000000014</c:v>
                </c:pt>
                <c:pt idx="77">
                  <c:v>77</c:v>
                </c:pt>
                <c:pt idx="78">
                  <c:v>78</c:v>
                </c:pt>
                <c:pt idx="79">
                  <c:v>79</c:v>
                </c:pt>
                <c:pt idx="80">
                  <c:v>80</c:v>
                </c:pt>
                <c:pt idx="81">
                  <c:v>81.000000000000014</c:v>
                </c:pt>
                <c:pt idx="82">
                  <c:v>81.999999999999986</c:v>
                </c:pt>
                <c:pt idx="83">
                  <c:v>83</c:v>
                </c:pt>
                <c:pt idx="84">
                  <c:v>84</c:v>
                </c:pt>
                <c:pt idx="85">
                  <c:v>85</c:v>
                </c:pt>
                <c:pt idx="86">
                  <c:v>86</c:v>
                </c:pt>
                <c:pt idx="87">
                  <c:v>86.999999999999986</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Dual'!$CD$5:$CD$105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14"/>
          <c:order val="14"/>
          <c:spPr>
            <a:ln>
              <a:noFill/>
            </a:ln>
          </c:spPr>
          <c:marker>
            <c:symbol val="none"/>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19.000000000000004</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38.000000000000007</c:v>
                </c:pt>
                <c:pt idx="39">
                  <c:v>39</c:v>
                </c:pt>
                <c:pt idx="40">
                  <c:v>40</c:v>
                </c:pt>
                <c:pt idx="41">
                  <c:v>40.999999999999993</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71.000000000000014</c:v>
                </c:pt>
                <c:pt idx="72">
                  <c:v>72</c:v>
                </c:pt>
                <c:pt idx="73">
                  <c:v>73</c:v>
                </c:pt>
                <c:pt idx="74">
                  <c:v>74</c:v>
                </c:pt>
                <c:pt idx="75">
                  <c:v>75</c:v>
                </c:pt>
                <c:pt idx="76">
                  <c:v>76.000000000000014</c:v>
                </c:pt>
                <c:pt idx="77">
                  <c:v>77</c:v>
                </c:pt>
                <c:pt idx="78">
                  <c:v>78</c:v>
                </c:pt>
                <c:pt idx="79">
                  <c:v>79</c:v>
                </c:pt>
                <c:pt idx="80">
                  <c:v>80</c:v>
                </c:pt>
                <c:pt idx="81">
                  <c:v>81.000000000000014</c:v>
                </c:pt>
                <c:pt idx="82">
                  <c:v>81.999999999999986</c:v>
                </c:pt>
                <c:pt idx="83">
                  <c:v>83</c:v>
                </c:pt>
                <c:pt idx="84">
                  <c:v>84</c:v>
                </c:pt>
                <c:pt idx="85">
                  <c:v>85</c:v>
                </c:pt>
                <c:pt idx="86">
                  <c:v>86</c:v>
                </c:pt>
                <c:pt idx="87">
                  <c:v>86.999999999999986</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Dual'!$CD$216:$CD$316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15"/>
          <c:order val="15"/>
          <c:tx>
            <c:v>D1</c:v>
          </c:tx>
          <c:spPr>
            <a:ln w="25400">
              <a:solidFill>
                <a:srgbClr val="0000FF"/>
              </a:solidFill>
              <a:prstDash val="lgDash"/>
            </a:ln>
          </c:spPr>
          <c:marker>
            <c:symbol val="none"/>
          </c:marker>
          <c:val>
            <c:numRef>
              <c:f>'Calculations - Dual'!$AU$5:$AU$105</c:f>
              <c:numCache>
                <c:formatCode>0.000</c:formatCode>
                <c:ptCount val="101"/>
                <c:pt idx="0">
                  <c:v>1.1358333333333333E-2</c:v>
                </c:pt>
                <c:pt idx="1">
                  <c:v>1.5330459770114942E-2</c:v>
                </c:pt>
                <c:pt idx="2">
                  <c:v>3.0660919540229883E-2</c:v>
                </c:pt>
                <c:pt idx="3">
                  <c:v>4.5991379310344839E-2</c:v>
                </c:pt>
                <c:pt idx="4">
                  <c:v>6.1321839080459767E-2</c:v>
                </c:pt>
                <c:pt idx="5">
                  <c:v>7.6652298850574715E-2</c:v>
                </c:pt>
                <c:pt idx="6">
                  <c:v>9.1982758620689678E-2</c:v>
                </c:pt>
                <c:pt idx="7">
                  <c:v>0.10731321839080464</c:v>
                </c:pt>
                <c:pt idx="8">
                  <c:v>0.12264367816091953</c:v>
                </c:pt>
                <c:pt idx="9">
                  <c:v>0.13797413793103447</c:v>
                </c:pt>
                <c:pt idx="10">
                  <c:v>0.15330459770114943</c:v>
                </c:pt>
                <c:pt idx="11">
                  <c:v>0.16863505747126439</c:v>
                </c:pt>
                <c:pt idx="12">
                  <c:v>0.18396551724137936</c:v>
                </c:pt>
                <c:pt idx="13">
                  <c:v>0.19929597701149429</c:v>
                </c:pt>
                <c:pt idx="14">
                  <c:v>0.21676868865405272</c:v>
                </c:pt>
                <c:pt idx="15">
                  <c:v>0.24040383168851906</c:v>
                </c:pt>
                <c:pt idx="16">
                  <c:v>0.26484054371387317</c:v>
                </c:pt>
                <c:pt idx="17">
                  <c:v>0.29005334541455124</c:v>
                </c:pt>
                <c:pt idx="18">
                  <c:v>0.31601904366354522</c:v>
                </c:pt>
                <c:pt idx="19">
                  <c:v>0.34271640871596326</c:v>
                </c:pt>
                <c:pt idx="20">
                  <c:v>0.3701259118388906</c:v>
                </c:pt>
                <c:pt idx="21">
                  <c:v>0.39822950956099656</c:v>
                </c:pt>
                <c:pt idx="22">
                  <c:v>0.42701046440104135</c:v>
                </c:pt>
                <c:pt idx="23">
                  <c:v>0.45645319450731692</c:v>
                </c:pt>
                <c:pt idx="24">
                  <c:v>0.4865431464751892</c:v>
                </c:pt>
                <c:pt idx="25">
                  <c:v>0.51726668694115863</c:v>
                </c:pt>
                <c:pt idx="26">
                  <c:v>0.54716542288415848</c:v>
                </c:pt>
                <c:pt idx="27">
                  <c:v>0.55758855798877371</c:v>
                </c:pt>
                <c:pt idx="28">
                  <c:v>0.56782039413885099</c:v>
                </c:pt>
                <c:pt idx="29">
                  <c:v>0.57787109289183147</c:v>
                </c:pt>
                <c:pt idx="30">
                  <c:v>0.58774994683113324</c:v>
                </c:pt>
                <c:pt idx="31">
                  <c:v>0.59746548017437784</c:v>
                </c:pt>
                <c:pt idx="32">
                  <c:v>0.60702553488300637</c:v>
                </c:pt>
                <c:pt idx="33">
                  <c:v>0.61643734474802858</c:v>
                </c:pt>
                <c:pt idx="34">
                  <c:v>0.62570759944242316</c:v>
                </c:pt>
                <c:pt idx="35">
                  <c:v>0.63484250015259691</c:v>
                </c:pt>
                <c:pt idx="36">
                  <c:v>0.64384780810374731</c:v>
                </c:pt>
                <c:pt idx="37">
                  <c:v>0.65132573189967558</c:v>
                </c:pt>
                <c:pt idx="38">
                  <c:v>0.64269852010430384</c:v>
                </c:pt>
                <c:pt idx="39">
                  <c:v>0.63440528852602895</c:v>
                </c:pt>
                <c:pt idx="40">
                  <c:v>0.62642503011697204</c:v>
                </c:pt>
                <c:pt idx="41">
                  <c:v>0.61873854232864389</c:v>
                </c:pt>
                <c:pt idx="42">
                  <c:v>0.61132823258794011</c:v>
                </c:pt>
                <c:pt idx="43">
                  <c:v>0.60417794880358811</c:v>
                </c:pt>
                <c:pt idx="44">
                  <c:v>0.59727283118357632</c:v>
                </c:pt>
                <c:pt idx="45">
                  <c:v>0.59059918226759767</c:v>
                </c:pt>
                <c:pt idx="46">
                  <c:v>0.58414435258615993</c:v>
                </c:pt>
                <c:pt idx="47">
                  <c:v>0.57789663977334105</c:v>
                </c:pt>
                <c:pt idx="48">
                  <c:v>0.5718451993015311</c:v>
                </c:pt>
                <c:pt idx="49">
                  <c:v>0.56597996528834416</c:v>
                </c:pt>
                <c:pt idx="50">
                  <c:v>0.56029158005956092</c:v>
                </c:pt>
                <c:pt idx="51">
                  <c:v>0.55477133134649304</c:v>
                </c:pt>
                <c:pt idx="52">
                  <c:v>0.54941109615873773</c:v>
                </c:pt>
                <c:pt idx="53">
                  <c:v>0.54420329050966498</c:v>
                </c:pt>
                <c:pt idx="54">
                  <c:v>0.53914082428678045</c:v>
                </c:pt>
                <c:pt idx="55">
                  <c:v>0.5342170606560932</c:v>
                </c:pt>
                <c:pt idx="56">
                  <c:v>0.52942577947179814</c:v>
                </c:pt>
                <c:pt idx="57">
                  <c:v>0.52476114423247366</c:v>
                </c:pt>
                <c:pt idx="58">
                  <c:v>0.52021767218457471</c:v>
                </c:pt>
                <c:pt idx="59">
                  <c:v>0.51579020722497837</c:v>
                </c:pt>
                <c:pt idx="60">
                  <c:v>0.51147389529805554</c:v>
                </c:pt>
                <c:pt idx="61">
                  <c:v>0.50726416202033864</c:v>
                </c:pt>
                <c:pt idx="62">
                  <c:v>0.50315669229828219</c:v>
                </c:pt>
                <c:pt idx="63">
                  <c:v>0.49914741173264282</c:v>
                </c:pt>
                <c:pt idx="64">
                  <c:v>0.49523246962730133</c:v>
                </c:pt>
                <c:pt idx="65">
                  <c:v>0.4914082234414443</c:v>
                </c:pt>
                <c:pt idx="66">
                  <c:v>0.48767122454241302</c:v>
                </c:pt>
                <c:pt idx="67">
                  <c:v>0.48401820513254568</c:v>
                </c:pt>
                <c:pt idx="68">
                  <c:v>0.48044606623737723</c:v>
                </c:pt>
                <c:pt idx="69">
                  <c:v>0.47695186665483963</c:v>
                </c:pt>
                <c:pt idx="70">
                  <c:v>0.47353281277590148</c:v>
                </c:pt>
                <c:pt idx="71">
                  <c:v>0.47018624919658047</c:v>
                </c:pt>
                <c:pt idx="72">
                  <c:v>0.46690965004963436</c:v>
                </c:pt>
                <c:pt idx="73">
                  <c:v>0.46370061099161791</c:v>
                </c:pt>
                <c:pt idx="74">
                  <c:v>0.66896551724137943</c:v>
                </c:pt>
                <c:pt idx="75">
                  <c:v>0.66896551724137943</c:v>
                </c:pt>
                <c:pt idx="76">
                  <c:v>0.66896551724137909</c:v>
                </c:pt>
                <c:pt idx="77">
                  <c:v>0.66896551724137943</c:v>
                </c:pt>
                <c:pt idx="78">
                  <c:v>0.66896551724137943</c:v>
                </c:pt>
                <c:pt idx="79">
                  <c:v>0.66896551724137931</c:v>
                </c:pt>
                <c:pt idx="80">
                  <c:v>0.66896551724137943</c:v>
                </c:pt>
                <c:pt idx="81">
                  <c:v>0.6689655172413792</c:v>
                </c:pt>
                <c:pt idx="82">
                  <c:v>0.66896551724137943</c:v>
                </c:pt>
                <c:pt idx="83">
                  <c:v>0.66896551724137943</c:v>
                </c:pt>
                <c:pt idx="84">
                  <c:v>0.66896551724137931</c:v>
                </c:pt>
                <c:pt idx="85">
                  <c:v>0.6689655172413792</c:v>
                </c:pt>
                <c:pt idx="86">
                  <c:v>0.66896551724137931</c:v>
                </c:pt>
                <c:pt idx="87">
                  <c:v>0.66896551724137931</c:v>
                </c:pt>
                <c:pt idx="88">
                  <c:v>0.6689655172413792</c:v>
                </c:pt>
                <c:pt idx="89">
                  <c:v>0.66896551724137931</c:v>
                </c:pt>
                <c:pt idx="90">
                  <c:v>0.66896551724137943</c:v>
                </c:pt>
                <c:pt idx="91">
                  <c:v>0.66896551724137931</c:v>
                </c:pt>
                <c:pt idx="92">
                  <c:v>0.66896551724137943</c:v>
                </c:pt>
                <c:pt idx="93">
                  <c:v>0.66896551724137943</c:v>
                </c:pt>
                <c:pt idx="94">
                  <c:v>0.66896551724137943</c:v>
                </c:pt>
                <c:pt idx="95">
                  <c:v>0.6689655172413792</c:v>
                </c:pt>
                <c:pt idx="96">
                  <c:v>0.66896551724137943</c:v>
                </c:pt>
                <c:pt idx="97">
                  <c:v>0.6689655172413792</c:v>
                </c:pt>
                <c:pt idx="98">
                  <c:v>0.66896551724137931</c:v>
                </c:pt>
                <c:pt idx="99">
                  <c:v>0.66896551724137931</c:v>
                </c:pt>
                <c:pt idx="100">
                  <c:v>0.6689655172413792</c:v>
                </c:pt>
              </c:numCache>
            </c:numRef>
          </c:val>
          <c:smooth val="0"/>
        </c:ser>
        <c:ser>
          <c:idx val="16"/>
          <c:order val="16"/>
          <c:spPr>
            <a:ln w="25400">
              <a:solidFill>
                <a:srgbClr val="00B050"/>
              </a:solidFill>
              <a:prstDash val="dash"/>
            </a:ln>
          </c:spPr>
          <c:marker>
            <c:symbol val="none"/>
          </c:marker>
          <c:val>
            <c:numRef>
              <c:f>'Calculations - Dual'!$AU$110:$AU$210</c:f>
              <c:numCache>
                <c:formatCode>0.000</c:formatCode>
                <c:ptCount val="101"/>
                <c:pt idx="0">
                  <c:v>1.363E-2</c:v>
                </c:pt>
                <c:pt idx="1">
                  <c:v>1.8396551724137931E-2</c:v>
                </c:pt>
                <c:pt idx="2">
                  <c:v>3.6793103448275861E-2</c:v>
                </c:pt>
                <c:pt idx="3">
                  <c:v>5.518965517241381E-2</c:v>
                </c:pt>
                <c:pt idx="4">
                  <c:v>7.3586206896551723E-2</c:v>
                </c:pt>
                <c:pt idx="5">
                  <c:v>9.1982758620689678E-2</c:v>
                </c:pt>
                <c:pt idx="6">
                  <c:v>0.11037931034482762</c:v>
                </c:pt>
                <c:pt idx="7">
                  <c:v>0.12877586206896557</c:v>
                </c:pt>
                <c:pt idx="8">
                  <c:v>0.14717241379310345</c:v>
                </c:pt>
                <c:pt idx="9">
                  <c:v>0.16556896551724137</c:v>
                </c:pt>
                <c:pt idx="10">
                  <c:v>0.18396551724137936</c:v>
                </c:pt>
                <c:pt idx="11">
                  <c:v>0.20236206896551728</c:v>
                </c:pt>
                <c:pt idx="12">
                  <c:v>0.22075862068965524</c:v>
                </c:pt>
                <c:pt idx="13">
                  <c:v>0.23915517241379314</c:v>
                </c:pt>
                <c:pt idx="14">
                  <c:v>0.26012242638486327</c:v>
                </c:pt>
                <c:pt idx="15">
                  <c:v>0.28848459802622289</c:v>
                </c:pt>
                <c:pt idx="16">
                  <c:v>0.31780865245664774</c:v>
                </c:pt>
                <c:pt idx="17">
                  <c:v>0.34806401449746149</c:v>
                </c:pt>
                <c:pt idx="18">
                  <c:v>0.37922285239625425</c:v>
                </c:pt>
                <c:pt idx="19">
                  <c:v>0.41125969045915595</c:v>
                </c:pt>
                <c:pt idx="20">
                  <c:v>0.44415109420666876</c:v>
                </c:pt>
                <c:pt idx="21">
                  <c:v>0.4778754114731959</c:v>
                </c:pt>
                <c:pt idx="22">
                  <c:v>0.51241255728124957</c:v>
                </c:pt>
                <c:pt idx="23">
                  <c:v>0.5477438334087803</c:v>
                </c:pt>
                <c:pt idx="24">
                  <c:v>0.58385177577022707</c:v>
                </c:pt>
                <c:pt idx="25">
                  <c:v>0.62072002432939033</c:v>
                </c:pt>
                <c:pt idx="26">
                  <c:v>0.65659850746099013</c:v>
                </c:pt>
                <c:pt idx="27">
                  <c:v>0.66910626958652841</c:v>
                </c:pt>
                <c:pt idx="28">
                  <c:v>0.68138447296662119</c:v>
                </c:pt>
                <c:pt idx="29">
                  <c:v>0.6867738073137466</c:v>
                </c:pt>
                <c:pt idx="30">
                  <c:v>0.70802919708029199</c:v>
                </c:pt>
                <c:pt idx="31">
                  <c:v>0.70802919708029199</c:v>
                </c:pt>
                <c:pt idx="32">
                  <c:v>0.70802919708029177</c:v>
                </c:pt>
                <c:pt idx="33">
                  <c:v>0.70802919708029199</c:v>
                </c:pt>
                <c:pt idx="34">
                  <c:v>0.70802919708029211</c:v>
                </c:pt>
                <c:pt idx="35">
                  <c:v>0.70802919708029199</c:v>
                </c:pt>
                <c:pt idx="36">
                  <c:v>0.70802919708029188</c:v>
                </c:pt>
                <c:pt idx="37">
                  <c:v>0.70802919708029199</c:v>
                </c:pt>
                <c:pt idx="38">
                  <c:v>0.70802919708029199</c:v>
                </c:pt>
                <c:pt idx="39">
                  <c:v>0.70802919708029199</c:v>
                </c:pt>
                <c:pt idx="40">
                  <c:v>0.70802919708029199</c:v>
                </c:pt>
                <c:pt idx="41">
                  <c:v>0.70802919708029188</c:v>
                </c:pt>
                <c:pt idx="42">
                  <c:v>0.70802919708029199</c:v>
                </c:pt>
                <c:pt idx="43">
                  <c:v>0.70802919708029211</c:v>
                </c:pt>
                <c:pt idx="44">
                  <c:v>0.70802919708029199</c:v>
                </c:pt>
                <c:pt idx="45">
                  <c:v>0.70802919708029199</c:v>
                </c:pt>
                <c:pt idx="46">
                  <c:v>0.70802919708029199</c:v>
                </c:pt>
                <c:pt idx="47">
                  <c:v>0.70802919708029199</c:v>
                </c:pt>
                <c:pt idx="48">
                  <c:v>0.70802919708029188</c:v>
                </c:pt>
                <c:pt idx="49">
                  <c:v>0.70802919708029188</c:v>
                </c:pt>
                <c:pt idx="50">
                  <c:v>0.70802919708029199</c:v>
                </c:pt>
                <c:pt idx="51">
                  <c:v>0.70802919708029199</c:v>
                </c:pt>
                <c:pt idx="52">
                  <c:v>0.70802919708029199</c:v>
                </c:pt>
                <c:pt idx="53">
                  <c:v>0.70802919708029199</c:v>
                </c:pt>
                <c:pt idx="54">
                  <c:v>0.70802919708029199</c:v>
                </c:pt>
                <c:pt idx="55">
                  <c:v>0.70802919708029199</c:v>
                </c:pt>
                <c:pt idx="56">
                  <c:v>0.70802919708029199</c:v>
                </c:pt>
                <c:pt idx="57">
                  <c:v>0.70802919708029199</c:v>
                </c:pt>
                <c:pt idx="58">
                  <c:v>0.70802919708029211</c:v>
                </c:pt>
                <c:pt idx="59">
                  <c:v>0.70802919708029211</c:v>
                </c:pt>
                <c:pt idx="60">
                  <c:v>0.70802919708029199</c:v>
                </c:pt>
                <c:pt idx="61">
                  <c:v>0.70802919708029211</c:v>
                </c:pt>
                <c:pt idx="62">
                  <c:v>0.70802919708029199</c:v>
                </c:pt>
                <c:pt idx="63">
                  <c:v>0.70802919708029199</c:v>
                </c:pt>
                <c:pt idx="64">
                  <c:v>0.70802919708029177</c:v>
                </c:pt>
                <c:pt idx="65">
                  <c:v>0.70802919708029188</c:v>
                </c:pt>
                <c:pt idx="66">
                  <c:v>0.70802919708029199</c:v>
                </c:pt>
                <c:pt idx="67">
                  <c:v>0.70802919708029211</c:v>
                </c:pt>
                <c:pt idx="68">
                  <c:v>0.70802919708029211</c:v>
                </c:pt>
                <c:pt idx="69">
                  <c:v>0.70802919708029199</c:v>
                </c:pt>
                <c:pt idx="70">
                  <c:v>0.70802919708029199</c:v>
                </c:pt>
                <c:pt idx="71">
                  <c:v>0.70802919708029199</c:v>
                </c:pt>
                <c:pt idx="72">
                  <c:v>0.70802919708029188</c:v>
                </c:pt>
                <c:pt idx="73">
                  <c:v>0.70802919708029188</c:v>
                </c:pt>
                <c:pt idx="74">
                  <c:v>0.70802919708029199</c:v>
                </c:pt>
                <c:pt idx="75">
                  <c:v>0.70802919708029199</c:v>
                </c:pt>
                <c:pt idx="76">
                  <c:v>0.70802919708029199</c:v>
                </c:pt>
                <c:pt idx="77">
                  <c:v>0.70802919708029199</c:v>
                </c:pt>
                <c:pt idx="78">
                  <c:v>0.70802919708029199</c:v>
                </c:pt>
                <c:pt idx="79">
                  <c:v>0.70802919708029211</c:v>
                </c:pt>
                <c:pt idx="80">
                  <c:v>0.70802919708029199</c:v>
                </c:pt>
                <c:pt idx="81">
                  <c:v>0.70802919708029188</c:v>
                </c:pt>
                <c:pt idx="82">
                  <c:v>0.70802919708029188</c:v>
                </c:pt>
                <c:pt idx="83">
                  <c:v>0.70802919708029199</c:v>
                </c:pt>
                <c:pt idx="84">
                  <c:v>0.70802919708029199</c:v>
                </c:pt>
                <c:pt idx="85">
                  <c:v>0.70802919708029199</c:v>
                </c:pt>
                <c:pt idx="86">
                  <c:v>0.70802919708029211</c:v>
                </c:pt>
                <c:pt idx="87">
                  <c:v>0.70802919708029177</c:v>
                </c:pt>
                <c:pt idx="88">
                  <c:v>0.70802919708029199</c:v>
                </c:pt>
                <c:pt idx="89">
                  <c:v>0.70802919708029188</c:v>
                </c:pt>
                <c:pt idx="90">
                  <c:v>0.70802919708029199</c:v>
                </c:pt>
                <c:pt idx="91">
                  <c:v>0.70802919708029199</c:v>
                </c:pt>
                <c:pt idx="92">
                  <c:v>0.70802919708029199</c:v>
                </c:pt>
                <c:pt idx="93">
                  <c:v>0.70802919708029199</c:v>
                </c:pt>
                <c:pt idx="94">
                  <c:v>0.70802919708029199</c:v>
                </c:pt>
                <c:pt idx="95">
                  <c:v>0.70802919708029199</c:v>
                </c:pt>
                <c:pt idx="96">
                  <c:v>0.70802919708029188</c:v>
                </c:pt>
                <c:pt idx="97">
                  <c:v>0.70751568786423935</c:v>
                </c:pt>
                <c:pt idx="98">
                  <c:v>0.70541086781317563</c:v>
                </c:pt>
                <c:pt idx="99">
                  <c:v>0.70331897850285718</c:v>
                </c:pt>
                <c:pt idx="100">
                  <c:v>0.7012399011402104</c:v>
                </c:pt>
              </c:numCache>
            </c:numRef>
          </c:val>
          <c:smooth val="0"/>
        </c:ser>
        <c:ser>
          <c:idx val="17"/>
          <c:order val="17"/>
          <c:spPr>
            <a:ln w="25400">
              <a:solidFill>
                <a:srgbClr val="FF0000"/>
              </a:solidFill>
            </a:ln>
          </c:spPr>
          <c:marker>
            <c:symbol val="none"/>
          </c:marker>
          <c:val>
            <c:numRef>
              <c:f>'Calculations - Dual'!$AU$216:$AU$316</c:f>
              <c:numCache>
                <c:formatCode>0.000</c:formatCode>
                <c:ptCount val="101"/>
                <c:pt idx="0">
                  <c:v>9.0866666666666665E-3</c:v>
                </c:pt>
                <c:pt idx="1">
                  <c:v>1.2264367816091953E-2</c:v>
                </c:pt>
                <c:pt idx="2">
                  <c:v>2.4528735632183905E-2</c:v>
                </c:pt>
                <c:pt idx="3">
                  <c:v>3.6793103448275868E-2</c:v>
                </c:pt>
                <c:pt idx="4">
                  <c:v>4.9057471264367811E-2</c:v>
                </c:pt>
                <c:pt idx="5">
                  <c:v>6.1321839080459781E-2</c:v>
                </c:pt>
                <c:pt idx="6">
                  <c:v>7.3586206896551737E-2</c:v>
                </c:pt>
                <c:pt idx="7">
                  <c:v>8.5850574712643707E-2</c:v>
                </c:pt>
                <c:pt idx="8">
                  <c:v>9.8114942528735621E-2</c:v>
                </c:pt>
                <c:pt idx="9">
                  <c:v>0.11037931034482759</c:v>
                </c:pt>
                <c:pt idx="10">
                  <c:v>0.12264367816091956</c:v>
                </c:pt>
                <c:pt idx="11">
                  <c:v>0.13490804597701153</c:v>
                </c:pt>
                <c:pt idx="12">
                  <c:v>0.14717241379310347</c:v>
                </c:pt>
                <c:pt idx="13">
                  <c:v>0.15943678160919542</c:v>
                </c:pt>
                <c:pt idx="14">
                  <c:v>0.17341495092324216</c:v>
                </c:pt>
                <c:pt idx="15">
                  <c:v>0.19232306535081528</c:v>
                </c:pt>
                <c:pt idx="16">
                  <c:v>0.21187243497109853</c:v>
                </c:pt>
                <c:pt idx="17">
                  <c:v>0.23204267633164097</c:v>
                </c:pt>
                <c:pt idx="18">
                  <c:v>0.25281523493083619</c:v>
                </c:pt>
                <c:pt idx="19">
                  <c:v>0.27417312697277058</c:v>
                </c:pt>
                <c:pt idx="20">
                  <c:v>0.29610072947111254</c:v>
                </c:pt>
                <c:pt idx="21">
                  <c:v>0.31858360764879723</c:v>
                </c:pt>
                <c:pt idx="22">
                  <c:v>0.34160837152083312</c:v>
                </c:pt>
                <c:pt idx="23">
                  <c:v>0.36516255560585353</c:v>
                </c:pt>
                <c:pt idx="24">
                  <c:v>0.38923451718015134</c:v>
                </c:pt>
                <c:pt idx="25">
                  <c:v>0.41381334955292692</c:v>
                </c:pt>
                <c:pt idx="26">
                  <c:v>0.43773233830732672</c:v>
                </c:pt>
                <c:pt idx="27">
                  <c:v>0.44607084639101896</c:v>
                </c:pt>
                <c:pt idx="28">
                  <c:v>0.45425631531108079</c:v>
                </c:pt>
                <c:pt idx="29">
                  <c:v>0.46229687431346528</c:v>
                </c:pt>
                <c:pt idx="30">
                  <c:v>0.47019995746490656</c:v>
                </c:pt>
                <c:pt idx="31">
                  <c:v>0.47797238413950227</c:v>
                </c:pt>
                <c:pt idx="32">
                  <c:v>0.48562042790640514</c:v>
                </c:pt>
                <c:pt idx="33">
                  <c:v>0.49314987579842295</c:v>
                </c:pt>
                <c:pt idx="34">
                  <c:v>0.50056607955393861</c:v>
                </c:pt>
                <c:pt idx="35">
                  <c:v>0.50787400012207751</c:v>
                </c:pt>
                <c:pt idx="36">
                  <c:v>0.51507824648299794</c:v>
                </c:pt>
                <c:pt idx="37">
                  <c:v>0.52218310964641501</c:v>
                </c:pt>
                <c:pt idx="38">
                  <c:v>0.52919259254074968</c:v>
                </c:pt>
                <c:pt idx="39">
                  <c:v>0.53611043638414646</c:v>
                </c:pt>
                <c:pt idx="40">
                  <c:v>0.54294014403062874</c:v>
                </c:pt>
                <c:pt idx="41">
                  <c:v>0.54968500070494908</c:v>
                </c:pt>
                <c:pt idx="42">
                  <c:v>0.55634809247448669</c:v>
                </c:pt>
                <c:pt idx="43">
                  <c:v>0.56293232275292204</c:v>
                </c:pt>
                <c:pt idx="44">
                  <c:v>0.5694404270861001</c:v>
                </c:pt>
                <c:pt idx="45">
                  <c:v>0.57587498643368762</c:v>
                </c:pt>
                <c:pt idx="46">
                  <c:v>0.58223843912953732</c:v>
                </c:pt>
                <c:pt idx="47">
                  <c:v>0.58853309167794476</c:v>
                </c:pt>
                <c:pt idx="48">
                  <c:v>0.59476112852135843</c:v>
                </c:pt>
                <c:pt idx="49">
                  <c:v>0.60092462089683085</c:v>
                </c:pt>
                <c:pt idx="50">
                  <c:v>0.5973939343762561</c:v>
                </c:pt>
                <c:pt idx="51">
                  <c:v>0.59150813631181842</c:v>
                </c:pt>
                <c:pt idx="52">
                  <c:v>0.61783439490445857</c:v>
                </c:pt>
                <c:pt idx="53">
                  <c:v>0.61783439490445868</c:v>
                </c:pt>
                <c:pt idx="54">
                  <c:v>0.61783439490445857</c:v>
                </c:pt>
                <c:pt idx="55">
                  <c:v>0.61783439490445857</c:v>
                </c:pt>
                <c:pt idx="56">
                  <c:v>0.61783439490445857</c:v>
                </c:pt>
                <c:pt idx="57">
                  <c:v>0.61783439490445857</c:v>
                </c:pt>
                <c:pt idx="58">
                  <c:v>0.61783439490445846</c:v>
                </c:pt>
                <c:pt idx="59">
                  <c:v>0.61783439490445857</c:v>
                </c:pt>
                <c:pt idx="60">
                  <c:v>0.61783439490445868</c:v>
                </c:pt>
                <c:pt idx="61">
                  <c:v>0.61783439490445857</c:v>
                </c:pt>
                <c:pt idx="62">
                  <c:v>0.61783439490445857</c:v>
                </c:pt>
                <c:pt idx="63">
                  <c:v>0.61783439490445857</c:v>
                </c:pt>
                <c:pt idx="64">
                  <c:v>0.61783439490445857</c:v>
                </c:pt>
                <c:pt idx="65">
                  <c:v>0.61783439490445857</c:v>
                </c:pt>
                <c:pt idx="66">
                  <c:v>0.61783439490445846</c:v>
                </c:pt>
                <c:pt idx="67">
                  <c:v>0.61783439490445857</c:v>
                </c:pt>
                <c:pt idx="68">
                  <c:v>0.61783439490445857</c:v>
                </c:pt>
                <c:pt idx="69">
                  <c:v>0.61783439490445868</c:v>
                </c:pt>
                <c:pt idx="70">
                  <c:v>0.61783439490445868</c:v>
                </c:pt>
                <c:pt idx="71">
                  <c:v>0.61783439490445868</c:v>
                </c:pt>
                <c:pt idx="72">
                  <c:v>0.61783439490445857</c:v>
                </c:pt>
                <c:pt idx="73">
                  <c:v>0.61783439490445868</c:v>
                </c:pt>
                <c:pt idx="74">
                  <c:v>0.61783439490445857</c:v>
                </c:pt>
                <c:pt idx="75">
                  <c:v>0.61783439490445857</c:v>
                </c:pt>
                <c:pt idx="76">
                  <c:v>0.61783439490445868</c:v>
                </c:pt>
                <c:pt idx="77">
                  <c:v>0.61783439490445857</c:v>
                </c:pt>
                <c:pt idx="78">
                  <c:v>0.61783439490445857</c:v>
                </c:pt>
                <c:pt idx="79">
                  <c:v>0.61783439490445846</c:v>
                </c:pt>
                <c:pt idx="80">
                  <c:v>0.61783439490445857</c:v>
                </c:pt>
                <c:pt idx="81">
                  <c:v>0.61783439490445857</c:v>
                </c:pt>
                <c:pt idx="82">
                  <c:v>0.61783439490445857</c:v>
                </c:pt>
                <c:pt idx="83">
                  <c:v>0.61783439490445868</c:v>
                </c:pt>
                <c:pt idx="84">
                  <c:v>0.61783439490445868</c:v>
                </c:pt>
                <c:pt idx="85">
                  <c:v>0.61783439490445868</c:v>
                </c:pt>
                <c:pt idx="86">
                  <c:v>0.61783439490445868</c:v>
                </c:pt>
                <c:pt idx="87">
                  <c:v>0.61783439490445857</c:v>
                </c:pt>
                <c:pt idx="88">
                  <c:v>0.61783439490445857</c:v>
                </c:pt>
                <c:pt idx="89">
                  <c:v>0.61783439490445857</c:v>
                </c:pt>
                <c:pt idx="90">
                  <c:v>0.61783439490445868</c:v>
                </c:pt>
                <c:pt idx="91">
                  <c:v>0.61783439490445868</c:v>
                </c:pt>
                <c:pt idx="92">
                  <c:v>0.61783439490445868</c:v>
                </c:pt>
                <c:pt idx="93">
                  <c:v>0.61783439490445857</c:v>
                </c:pt>
                <c:pt idx="94">
                  <c:v>0.61783439490445868</c:v>
                </c:pt>
                <c:pt idx="95">
                  <c:v>0.61783439490445868</c:v>
                </c:pt>
                <c:pt idx="96">
                  <c:v>0.61783439490445857</c:v>
                </c:pt>
                <c:pt idx="97">
                  <c:v>0.61783439490445857</c:v>
                </c:pt>
                <c:pt idx="98">
                  <c:v>0.61783439490445857</c:v>
                </c:pt>
                <c:pt idx="99">
                  <c:v>0.61783439490445868</c:v>
                </c:pt>
                <c:pt idx="100">
                  <c:v>0.61783439490445868</c:v>
                </c:pt>
              </c:numCache>
            </c:numRef>
          </c:val>
          <c:smooth val="0"/>
        </c:ser>
        <c:ser>
          <c:idx val="1"/>
          <c:order val="0"/>
          <c:tx>
            <c:v>VIN-min</c:v>
          </c:tx>
          <c:spPr>
            <a:ln>
              <a:solidFill>
                <a:srgbClr val="00B050"/>
              </a:solidFill>
              <a:prstDash val="sysDash"/>
            </a:ln>
          </c:spPr>
          <c:marker>
            <c:symbol val="none"/>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19.000000000000004</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38.000000000000007</c:v>
                </c:pt>
                <c:pt idx="39">
                  <c:v>39</c:v>
                </c:pt>
                <c:pt idx="40">
                  <c:v>40</c:v>
                </c:pt>
                <c:pt idx="41">
                  <c:v>40.999999999999993</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71.000000000000014</c:v>
                </c:pt>
                <c:pt idx="72">
                  <c:v>72</c:v>
                </c:pt>
                <c:pt idx="73">
                  <c:v>73</c:v>
                </c:pt>
                <c:pt idx="74">
                  <c:v>74</c:v>
                </c:pt>
                <c:pt idx="75">
                  <c:v>75</c:v>
                </c:pt>
                <c:pt idx="76">
                  <c:v>76.000000000000014</c:v>
                </c:pt>
                <c:pt idx="77">
                  <c:v>77</c:v>
                </c:pt>
                <c:pt idx="78">
                  <c:v>78</c:v>
                </c:pt>
                <c:pt idx="79">
                  <c:v>79</c:v>
                </c:pt>
                <c:pt idx="80">
                  <c:v>80</c:v>
                </c:pt>
                <c:pt idx="81">
                  <c:v>81.000000000000014</c:v>
                </c:pt>
                <c:pt idx="82">
                  <c:v>81.999999999999986</c:v>
                </c:pt>
                <c:pt idx="83">
                  <c:v>83</c:v>
                </c:pt>
                <c:pt idx="84">
                  <c:v>84</c:v>
                </c:pt>
                <c:pt idx="85">
                  <c:v>85</c:v>
                </c:pt>
                <c:pt idx="86">
                  <c:v>86</c:v>
                </c:pt>
                <c:pt idx="87">
                  <c:v>86.999999999999986</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13.497103245882563</c:v>
                </c:pt>
                <c:pt idx="2">
                  <c:v>26.994206491765127</c:v>
                </c:pt>
                <c:pt idx="3">
                  <c:v>40.491309737647697</c:v>
                </c:pt>
                <c:pt idx="4">
                  <c:v>53.988412983530253</c:v>
                </c:pt>
                <c:pt idx="5">
                  <c:v>67.485516229412823</c:v>
                </c:pt>
                <c:pt idx="6">
                  <c:v>80.982619475295394</c:v>
                </c:pt>
                <c:pt idx="7">
                  <c:v>94.479722721177964</c:v>
                </c:pt>
                <c:pt idx="8">
                  <c:v>107.97682596706051</c:v>
                </c:pt>
                <c:pt idx="9">
                  <c:v>121.47392921294306</c:v>
                </c:pt>
                <c:pt idx="10">
                  <c:v>134.97103245882565</c:v>
                </c:pt>
                <c:pt idx="11">
                  <c:v>148.4681357047082</c:v>
                </c:pt>
                <c:pt idx="12">
                  <c:v>161.96523895059079</c:v>
                </c:pt>
                <c:pt idx="13">
                  <c:v>175.46234219647332</c:v>
                </c:pt>
                <c:pt idx="14">
                  <c:v>188.95944544235593</c:v>
                </c:pt>
                <c:pt idx="15">
                  <c:v>202.45654868823843</c:v>
                </c:pt>
                <c:pt idx="16">
                  <c:v>215.95365193412101</c:v>
                </c:pt>
                <c:pt idx="17">
                  <c:v>229.45075518000363</c:v>
                </c:pt>
                <c:pt idx="18">
                  <c:v>242.94785842588612</c:v>
                </c:pt>
                <c:pt idx="19">
                  <c:v>256.44496167176874</c:v>
                </c:pt>
                <c:pt idx="20">
                  <c:v>269.94206491765129</c:v>
                </c:pt>
                <c:pt idx="21">
                  <c:v>283.43916816353385</c:v>
                </c:pt>
                <c:pt idx="22">
                  <c:v>296.93627140941641</c:v>
                </c:pt>
                <c:pt idx="23">
                  <c:v>310.43337465529896</c:v>
                </c:pt>
                <c:pt idx="24">
                  <c:v>323.93047790118158</c:v>
                </c:pt>
                <c:pt idx="25">
                  <c:v>337.42758114706413</c:v>
                </c:pt>
                <c:pt idx="26">
                  <c:v>350</c:v>
                </c:pt>
                <c:pt idx="27">
                  <c:v>350</c:v>
                </c:pt>
                <c:pt idx="28">
                  <c:v>350</c:v>
                </c:pt>
                <c:pt idx="29">
                  <c:v>346.63271722205837</c:v>
                </c:pt>
                <c:pt idx="30">
                  <c:v>335.07829331465632</c:v>
                </c:pt>
                <c:pt idx="31">
                  <c:v>324.26931611095785</c:v>
                </c:pt>
                <c:pt idx="32">
                  <c:v>314.13589998249029</c:v>
                </c:pt>
                <c:pt idx="33">
                  <c:v>304.6166302860513</c:v>
                </c:pt>
                <c:pt idx="34">
                  <c:v>295.6573176305792</c:v>
                </c:pt>
                <c:pt idx="35">
                  <c:v>287.20996569827696</c:v>
                </c:pt>
                <c:pt idx="36">
                  <c:v>279.23191109554699</c:v>
                </c:pt>
                <c:pt idx="37">
                  <c:v>271.68510268755927</c:v>
                </c:pt>
                <c:pt idx="38">
                  <c:v>264.5354947220971</c:v>
                </c:pt>
                <c:pt idx="39">
                  <c:v>257.75253331896641</c:v>
                </c:pt>
                <c:pt idx="40">
                  <c:v>251.3087199859923</c:v>
                </c:pt>
                <c:pt idx="41">
                  <c:v>245.17923901072416</c:v>
                </c:pt>
                <c:pt idx="42">
                  <c:v>239.34163808189746</c:v>
                </c:pt>
                <c:pt idx="43">
                  <c:v>233.77555347534164</c:v>
                </c:pt>
                <c:pt idx="44">
                  <c:v>228.46247271453842</c:v>
                </c:pt>
                <c:pt idx="45">
                  <c:v>223.38552887643755</c:v>
                </c:pt>
                <c:pt idx="46">
                  <c:v>218.52932172694977</c:v>
                </c:pt>
                <c:pt idx="47">
                  <c:v>213.87976169020615</c:v>
                </c:pt>
                <c:pt idx="48">
                  <c:v>209.42393332166023</c:v>
                </c:pt>
                <c:pt idx="49">
                  <c:v>205.14997549876924</c:v>
                </c:pt>
                <c:pt idx="50">
                  <c:v>201.0469759887938</c:v>
                </c:pt>
                <c:pt idx="51">
                  <c:v>197.10487842038606</c:v>
                </c:pt>
                <c:pt idx="52">
                  <c:v>193.31439998922485</c:v>
                </c:pt>
                <c:pt idx="53">
                  <c:v>189.66695847999415</c:v>
                </c:pt>
                <c:pt idx="54">
                  <c:v>186.1546073970313</c:v>
                </c:pt>
                <c:pt idx="55">
                  <c:v>182.76997817163073</c:v>
                </c:pt>
                <c:pt idx="56">
                  <c:v>179.50622856142303</c:v>
                </c:pt>
                <c:pt idx="57">
                  <c:v>176.35699648139808</c:v>
                </c:pt>
                <c:pt idx="58">
                  <c:v>173.31635861102919</c:v>
                </c:pt>
                <c:pt idx="59">
                  <c:v>170.37879321084228</c:v>
                </c:pt>
                <c:pt idx="60">
                  <c:v>167.53914665732816</c:v>
                </c:pt>
                <c:pt idx="61">
                  <c:v>164.79260326950316</c:v>
                </c:pt>
                <c:pt idx="62">
                  <c:v>162.13465805547892</c:v>
                </c:pt>
                <c:pt idx="63">
                  <c:v>159.56109205459828</c:v>
                </c:pt>
                <c:pt idx="64">
                  <c:v>157.06794999124514</c:v>
                </c:pt>
                <c:pt idx="65">
                  <c:v>154.65151999137984</c:v>
                </c:pt>
                <c:pt idx="66">
                  <c:v>152.30831514302565</c:v>
                </c:pt>
                <c:pt idx="67">
                  <c:v>150.03505670805512</c:v>
                </c:pt>
                <c:pt idx="68">
                  <c:v>147.8286588152896</c:v>
                </c:pt>
                <c:pt idx="69">
                  <c:v>145.68621448463321</c:v>
                </c:pt>
                <c:pt idx="70">
                  <c:v>143.60498284913848</c:v>
                </c:pt>
                <c:pt idx="71">
                  <c:v>141.58237745689709</c:v>
                </c:pt>
                <c:pt idx="72">
                  <c:v>139.6159555477735</c:v>
                </c:pt>
                <c:pt idx="73">
                  <c:v>137.70340821150262</c:v>
                </c:pt>
                <c:pt idx="74">
                  <c:v>135.84255134377963</c:v>
                </c:pt>
                <c:pt idx="75">
                  <c:v>134.03131732586252</c:v>
                </c:pt>
                <c:pt idx="76">
                  <c:v>132.26774736104855</c:v>
                </c:pt>
                <c:pt idx="77">
                  <c:v>130.54998440830767</c:v>
                </c:pt>
                <c:pt idx="78">
                  <c:v>128.87626665948321</c:v>
                </c:pt>
                <c:pt idx="79">
                  <c:v>127.24492151189482</c:v>
                </c:pt>
                <c:pt idx="80">
                  <c:v>125.65435999299615</c:v>
                </c:pt>
                <c:pt idx="81">
                  <c:v>124.10307159802083</c:v>
                </c:pt>
                <c:pt idx="82">
                  <c:v>122.58961950536208</c:v>
                </c:pt>
                <c:pt idx="83">
                  <c:v>121.11263613782762</c:v>
                </c:pt>
                <c:pt idx="84">
                  <c:v>119.67081904094873</c:v>
                </c:pt>
                <c:pt idx="85">
                  <c:v>118.26292705223166</c:v>
                </c:pt>
                <c:pt idx="86">
                  <c:v>116.88777673767082</c:v>
                </c:pt>
                <c:pt idx="87">
                  <c:v>115.54423907401942</c:v>
                </c:pt>
                <c:pt idx="88">
                  <c:v>114.23123635726921</c:v>
                </c:pt>
                <c:pt idx="89">
                  <c:v>112.94773931954708</c:v>
                </c:pt>
                <c:pt idx="90">
                  <c:v>111.69276443821877</c:v>
                </c:pt>
                <c:pt idx="91">
                  <c:v>110.46537142241418</c:v>
                </c:pt>
                <c:pt idx="92">
                  <c:v>109.26466086347489</c:v>
                </c:pt>
                <c:pt idx="93">
                  <c:v>108.08977203698592</c:v>
                </c:pt>
                <c:pt idx="94">
                  <c:v>106.93988084510308</c:v>
                </c:pt>
                <c:pt idx="95">
                  <c:v>105.81419788883886</c:v>
                </c:pt>
                <c:pt idx="96">
                  <c:v>104.71196666083011</c:v>
                </c:pt>
                <c:pt idx="97">
                  <c:v>103.81741568073944</c:v>
                </c:pt>
                <c:pt idx="98">
                  <c:v>103.50856460941682</c:v>
                </c:pt>
                <c:pt idx="99">
                  <c:v>103.20161093218742</c:v>
                </c:pt>
                <c:pt idx="100">
                  <c:v>102.89653721793259</c:v>
                </c:pt>
              </c:numCache>
            </c:numRef>
          </c:val>
          <c:smooth val="0"/>
        </c:ser>
        <c:ser>
          <c:idx val="0"/>
          <c:order val="1"/>
          <c:tx>
            <c:v>VIN-nom</c:v>
          </c:tx>
          <c:spPr>
            <a:ln w="28575">
              <a:solidFill>
                <a:srgbClr val="0000FF"/>
              </a:solidFill>
              <a:prstDash val="lgDash"/>
            </a:ln>
          </c:spPr>
          <c:marker>
            <c:symbol val="none"/>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19.000000000000004</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38.000000000000007</c:v>
                </c:pt>
                <c:pt idx="39">
                  <c:v>39</c:v>
                </c:pt>
                <c:pt idx="40">
                  <c:v>40</c:v>
                </c:pt>
                <c:pt idx="41">
                  <c:v>40.999999999999993</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71.000000000000014</c:v>
                </c:pt>
                <c:pt idx="72">
                  <c:v>72</c:v>
                </c:pt>
                <c:pt idx="73">
                  <c:v>73</c:v>
                </c:pt>
                <c:pt idx="74">
                  <c:v>74</c:v>
                </c:pt>
                <c:pt idx="75">
                  <c:v>75</c:v>
                </c:pt>
                <c:pt idx="76">
                  <c:v>76.000000000000014</c:v>
                </c:pt>
                <c:pt idx="77">
                  <c:v>77</c:v>
                </c:pt>
                <c:pt idx="78">
                  <c:v>78</c:v>
                </c:pt>
                <c:pt idx="79">
                  <c:v>79</c:v>
                </c:pt>
                <c:pt idx="80">
                  <c:v>80</c:v>
                </c:pt>
                <c:pt idx="81">
                  <c:v>81.000000000000014</c:v>
                </c:pt>
                <c:pt idx="82">
                  <c:v>81.999999999999986</c:v>
                </c:pt>
                <c:pt idx="83">
                  <c:v>83</c:v>
                </c:pt>
                <c:pt idx="84">
                  <c:v>84</c:v>
                </c:pt>
                <c:pt idx="85">
                  <c:v>85</c:v>
                </c:pt>
                <c:pt idx="86">
                  <c:v>86</c:v>
                </c:pt>
                <c:pt idx="87">
                  <c:v>86.999999999999986</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13.497103245882563</c:v>
                </c:pt>
                <c:pt idx="2">
                  <c:v>26.994206491765127</c:v>
                </c:pt>
                <c:pt idx="3">
                  <c:v>40.491309737647697</c:v>
                </c:pt>
                <c:pt idx="4">
                  <c:v>53.988412983530253</c:v>
                </c:pt>
                <c:pt idx="5">
                  <c:v>67.485516229412823</c:v>
                </c:pt>
                <c:pt idx="6">
                  <c:v>80.982619475295394</c:v>
                </c:pt>
                <c:pt idx="7">
                  <c:v>94.479722721177964</c:v>
                </c:pt>
                <c:pt idx="8">
                  <c:v>107.97682596706051</c:v>
                </c:pt>
                <c:pt idx="9">
                  <c:v>121.47392921294306</c:v>
                </c:pt>
                <c:pt idx="10">
                  <c:v>134.97103245882565</c:v>
                </c:pt>
                <c:pt idx="11">
                  <c:v>148.4681357047082</c:v>
                </c:pt>
                <c:pt idx="12">
                  <c:v>161.96523895059079</c:v>
                </c:pt>
                <c:pt idx="13">
                  <c:v>175.46234219647332</c:v>
                </c:pt>
                <c:pt idx="14">
                  <c:v>188.95944544235593</c:v>
                </c:pt>
                <c:pt idx="15">
                  <c:v>202.45654868823843</c:v>
                </c:pt>
                <c:pt idx="16">
                  <c:v>215.95365193412101</c:v>
                </c:pt>
                <c:pt idx="17">
                  <c:v>229.45075518000363</c:v>
                </c:pt>
                <c:pt idx="18">
                  <c:v>242.94785842588612</c:v>
                </c:pt>
                <c:pt idx="19">
                  <c:v>256.44496167176874</c:v>
                </c:pt>
                <c:pt idx="20">
                  <c:v>269.94206491765129</c:v>
                </c:pt>
                <c:pt idx="21">
                  <c:v>283.43916816353385</c:v>
                </c:pt>
                <c:pt idx="22">
                  <c:v>296.93627140941641</c:v>
                </c:pt>
                <c:pt idx="23">
                  <c:v>310.43337465529896</c:v>
                </c:pt>
                <c:pt idx="24">
                  <c:v>323.93047790118158</c:v>
                </c:pt>
                <c:pt idx="25">
                  <c:v>337.42758114706413</c:v>
                </c:pt>
                <c:pt idx="26">
                  <c:v>350</c:v>
                </c:pt>
                <c:pt idx="27">
                  <c:v>350</c:v>
                </c:pt>
                <c:pt idx="28">
                  <c:v>350</c:v>
                </c:pt>
                <c:pt idx="29">
                  <c:v>350</c:v>
                </c:pt>
                <c:pt idx="30">
                  <c:v>350</c:v>
                </c:pt>
                <c:pt idx="31">
                  <c:v>350</c:v>
                </c:pt>
                <c:pt idx="32">
                  <c:v>350</c:v>
                </c:pt>
                <c:pt idx="33">
                  <c:v>350</c:v>
                </c:pt>
                <c:pt idx="34">
                  <c:v>350</c:v>
                </c:pt>
                <c:pt idx="35">
                  <c:v>350</c:v>
                </c:pt>
                <c:pt idx="36">
                  <c:v>350</c:v>
                </c:pt>
                <c:pt idx="37">
                  <c:v>349.24761364916196</c:v>
                </c:pt>
                <c:pt idx="38">
                  <c:v>340.0568869741839</c:v>
                </c:pt>
                <c:pt idx="39">
                  <c:v>331.33747961587153</c:v>
                </c:pt>
                <c:pt idx="40">
                  <c:v>323.05404262547478</c:v>
                </c:pt>
                <c:pt idx="41">
                  <c:v>315.17467573217056</c:v>
                </c:pt>
                <c:pt idx="42">
                  <c:v>307.67051678616644</c:v>
                </c:pt>
                <c:pt idx="43">
                  <c:v>300.51538848881376</c:v>
                </c:pt>
                <c:pt idx="44">
                  <c:v>293.68549329588615</c:v>
                </c:pt>
                <c:pt idx="45">
                  <c:v>287.15914900042208</c:v>
                </c:pt>
                <c:pt idx="46">
                  <c:v>280.91655880476071</c:v>
                </c:pt>
                <c:pt idx="47">
                  <c:v>274.93961074508496</c:v>
                </c:pt>
                <c:pt idx="48">
                  <c:v>269.2117021878957</c:v>
                </c:pt>
                <c:pt idx="49">
                  <c:v>263.71758581671412</c:v>
                </c:pt>
                <c:pt idx="50">
                  <c:v>258.44323410037975</c:v>
                </c:pt>
                <c:pt idx="51">
                  <c:v>253.37571970625467</c:v>
                </c:pt>
                <c:pt idx="52">
                  <c:v>248.50310971190373</c:v>
                </c:pt>
                <c:pt idx="53">
                  <c:v>243.81437179281119</c:v>
                </c:pt>
                <c:pt idx="54">
                  <c:v>239.29929083368492</c:v>
                </c:pt>
                <c:pt idx="55">
                  <c:v>234.94839463670894</c:v>
                </c:pt>
                <c:pt idx="56">
                  <c:v>230.75288758962478</c:v>
                </c:pt>
                <c:pt idx="57">
                  <c:v>226.70459131612265</c:v>
                </c:pt>
                <c:pt idx="58">
                  <c:v>222.79589146584473</c:v>
                </c:pt>
                <c:pt idx="59">
                  <c:v>219.01968991557615</c:v>
                </c:pt>
                <c:pt idx="60">
                  <c:v>215.36936175031653</c:v>
                </c:pt>
                <c:pt idx="61">
                  <c:v>211.83871647572118</c:v>
                </c:pt>
                <c:pt idx="62">
                  <c:v>208.42196298417733</c:v>
                </c:pt>
                <c:pt idx="63">
                  <c:v>205.11367785744432</c:v>
                </c:pt>
                <c:pt idx="64">
                  <c:v>201.90877664092173</c:v>
                </c:pt>
                <c:pt idx="65">
                  <c:v>198.80248776952291</c:v>
                </c:pt>
                <c:pt idx="66">
                  <c:v>195.79032886392412</c:v>
                </c:pt>
                <c:pt idx="67">
                  <c:v>192.86808514953719</c:v>
                </c:pt>
                <c:pt idx="68">
                  <c:v>190.03178977969108</c:v>
                </c:pt>
                <c:pt idx="69">
                  <c:v>187.27770586984047</c:v>
                </c:pt>
                <c:pt idx="70">
                  <c:v>184.60231007169992</c:v>
                </c:pt>
                <c:pt idx="71">
                  <c:v>182.00227753547875</c:v>
                </c:pt>
                <c:pt idx="72">
                  <c:v>179.4744681252638</c:v>
                </c:pt>
                <c:pt idx="73">
                  <c:v>177.01591376738347</c:v>
                </c:pt>
                <c:pt idx="74">
                  <c:v>174.62380682458098</c:v>
                </c:pt>
                <c:pt idx="75">
                  <c:v>172.29548940025325</c:v>
                </c:pt>
                <c:pt idx="76">
                  <c:v>170.02844348709195</c:v>
                </c:pt>
                <c:pt idx="77">
                  <c:v>167.82028188336352</c:v>
                </c:pt>
                <c:pt idx="78">
                  <c:v>165.66873980793576</c:v>
                </c:pt>
                <c:pt idx="79">
                  <c:v>163.57166715213907</c:v>
                </c:pt>
                <c:pt idx="80">
                  <c:v>161.52702131273739</c:v>
                </c:pt>
                <c:pt idx="81">
                  <c:v>159.53286055578997</c:v>
                </c:pt>
                <c:pt idx="82">
                  <c:v>157.58733786608528</c:v>
                </c:pt>
                <c:pt idx="83">
                  <c:v>155.6886952411927</c:v>
                </c:pt>
                <c:pt idx="84">
                  <c:v>153.83525839308322</c:v>
                </c:pt>
                <c:pt idx="85">
                  <c:v>152.02543182375285</c:v>
                </c:pt>
                <c:pt idx="86">
                  <c:v>150.25769424440688</c:v>
                </c:pt>
                <c:pt idx="87">
                  <c:v>148.53059431056315</c:v>
                </c:pt>
                <c:pt idx="88">
                  <c:v>146.84274664794307</c:v>
                </c:pt>
                <c:pt idx="89">
                  <c:v>145.19282814628082</c:v>
                </c:pt>
                <c:pt idx="90">
                  <c:v>143.57957450021104</c:v>
                </c:pt>
                <c:pt idx="91">
                  <c:v>142.00177697823068</c:v>
                </c:pt>
                <c:pt idx="92">
                  <c:v>140.45827940238036</c:v>
                </c:pt>
                <c:pt idx="93">
                  <c:v>138.94797532278486</c:v>
                </c:pt>
                <c:pt idx="94">
                  <c:v>137.46980537254248</c:v>
                </c:pt>
                <c:pt idx="95">
                  <c:v>136.02275478967357</c:v>
                </c:pt>
                <c:pt idx="96">
                  <c:v>134.60585109394785</c:v>
                </c:pt>
                <c:pt idx="97">
                  <c:v>133.21816190741225</c:v>
                </c:pt>
                <c:pt idx="98">
                  <c:v>131.85879290835706</c:v>
                </c:pt>
                <c:pt idx="99">
                  <c:v>130.52688590928273</c:v>
                </c:pt>
                <c:pt idx="100">
                  <c:v>129.22161705018988</c:v>
                </c:pt>
              </c:numCache>
            </c:numRef>
          </c:val>
          <c:smooth val="0"/>
        </c:ser>
        <c:ser>
          <c:idx val="2"/>
          <c:order val="2"/>
          <c:tx>
            <c:v>VIN-max</c:v>
          </c:tx>
          <c:spPr>
            <a:ln>
              <a:solidFill>
                <a:srgbClr val="FF0000"/>
              </a:solidFill>
              <a:prstDash val="solid"/>
            </a:ln>
          </c:spPr>
          <c:marker>
            <c:symbol val="none"/>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19.000000000000004</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38.000000000000007</c:v>
                </c:pt>
                <c:pt idx="39">
                  <c:v>39</c:v>
                </c:pt>
                <c:pt idx="40">
                  <c:v>40</c:v>
                </c:pt>
                <c:pt idx="41">
                  <c:v>40.999999999999993</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71.000000000000014</c:v>
                </c:pt>
                <c:pt idx="72">
                  <c:v>72</c:v>
                </c:pt>
                <c:pt idx="73">
                  <c:v>73</c:v>
                </c:pt>
                <c:pt idx="74">
                  <c:v>74</c:v>
                </c:pt>
                <c:pt idx="75">
                  <c:v>75</c:v>
                </c:pt>
                <c:pt idx="76">
                  <c:v>76.000000000000014</c:v>
                </c:pt>
                <c:pt idx="77">
                  <c:v>77</c:v>
                </c:pt>
                <c:pt idx="78">
                  <c:v>78</c:v>
                </c:pt>
                <c:pt idx="79">
                  <c:v>79</c:v>
                </c:pt>
                <c:pt idx="80">
                  <c:v>80</c:v>
                </c:pt>
                <c:pt idx="81">
                  <c:v>81.000000000000014</c:v>
                </c:pt>
                <c:pt idx="82">
                  <c:v>81.999999999999986</c:v>
                </c:pt>
                <c:pt idx="83">
                  <c:v>83</c:v>
                </c:pt>
                <c:pt idx="84">
                  <c:v>84</c:v>
                </c:pt>
                <c:pt idx="85">
                  <c:v>85</c:v>
                </c:pt>
                <c:pt idx="86">
                  <c:v>86</c:v>
                </c:pt>
                <c:pt idx="87">
                  <c:v>86.999999999999986</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13.497103245882563</c:v>
                </c:pt>
                <c:pt idx="2">
                  <c:v>26.994206491765127</c:v>
                </c:pt>
                <c:pt idx="3">
                  <c:v>40.491309737647697</c:v>
                </c:pt>
                <c:pt idx="4">
                  <c:v>53.988412983530253</c:v>
                </c:pt>
                <c:pt idx="5">
                  <c:v>67.485516229412823</c:v>
                </c:pt>
                <c:pt idx="6">
                  <c:v>80.982619475295394</c:v>
                </c:pt>
                <c:pt idx="7">
                  <c:v>94.479722721177964</c:v>
                </c:pt>
                <c:pt idx="8">
                  <c:v>107.97682596706051</c:v>
                </c:pt>
                <c:pt idx="9">
                  <c:v>121.47392921294306</c:v>
                </c:pt>
                <c:pt idx="10">
                  <c:v>134.97103245882565</c:v>
                </c:pt>
                <c:pt idx="11">
                  <c:v>148.4681357047082</c:v>
                </c:pt>
                <c:pt idx="12">
                  <c:v>161.96523895059079</c:v>
                </c:pt>
                <c:pt idx="13">
                  <c:v>175.46234219647332</c:v>
                </c:pt>
                <c:pt idx="14">
                  <c:v>188.95944544235593</c:v>
                </c:pt>
                <c:pt idx="15">
                  <c:v>202.45654868823843</c:v>
                </c:pt>
                <c:pt idx="16">
                  <c:v>215.95365193412101</c:v>
                </c:pt>
                <c:pt idx="17">
                  <c:v>229.45075518000363</c:v>
                </c:pt>
                <c:pt idx="18">
                  <c:v>242.94785842588612</c:v>
                </c:pt>
                <c:pt idx="19">
                  <c:v>256.44496167176874</c:v>
                </c:pt>
                <c:pt idx="20">
                  <c:v>269.94206491765129</c:v>
                </c:pt>
                <c:pt idx="21">
                  <c:v>283.43916816353385</c:v>
                </c:pt>
                <c:pt idx="22">
                  <c:v>296.93627140941641</c:v>
                </c:pt>
                <c:pt idx="23">
                  <c:v>310.43337465529896</c:v>
                </c:pt>
                <c:pt idx="24">
                  <c:v>323.93047790118158</c:v>
                </c:pt>
                <c:pt idx="25">
                  <c:v>337.42758114706413</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344.44659246828502</c:v>
                </c:pt>
                <c:pt idx="51">
                  <c:v>337.69273771400492</c:v>
                </c:pt>
                <c:pt idx="52">
                  <c:v>331.19864660412026</c:v>
                </c:pt>
                <c:pt idx="53">
                  <c:v>324.94961553611802</c:v>
                </c:pt>
                <c:pt idx="54">
                  <c:v>318.93203006322688</c:v>
                </c:pt>
                <c:pt idx="55">
                  <c:v>313.13326588025916</c:v>
                </c:pt>
                <c:pt idx="56">
                  <c:v>307.54160041811167</c:v>
                </c:pt>
                <c:pt idx="57">
                  <c:v>302.1461337441097</c:v>
                </c:pt>
                <c:pt idx="58">
                  <c:v>296.93671764507337</c:v>
                </c:pt>
                <c:pt idx="59">
                  <c:v>291.90389192227548</c:v>
                </c:pt>
                <c:pt idx="60">
                  <c:v>287.03882705690427</c:v>
                </c:pt>
                <c:pt idx="61">
                  <c:v>282.33327251498775</c:v>
                </c:pt>
                <c:pt idx="62">
                  <c:v>277.77951005506861</c:v>
                </c:pt>
                <c:pt idx="63">
                  <c:v>273.37031148276594</c:v>
                </c:pt>
                <c:pt idx="64">
                  <c:v>269.09890036584767</c:v>
                </c:pt>
                <c:pt idx="65">
                  <c:v>264.95891728329616</c:v>
                </c:pt>
                <c:pt idx="66">
                  <c:v>260.94438823354926</c:v>
                </c:pt>
                <c:pt idx="67">
                  <c:v>257.04969587185451</c:v>
                </c:pt>
                <c:pt idx="68">
                  <c:v>253.26955328550372</c:v>
                </c:pt>
                <c:pt idx="69">
                  <c:v>249.59898004948198</c:v>
                </c:pt>
                <c:pt idx="70">
                  <c:v>246.03328033448938</c:v>
                </c:pt>
                <c:pt idx="71">
                  <c:v>242.56802286498956</c:v>
                </c:pt>
                <c:pt idx="72">
                  <c:v>239.19902254742018</c:v>
                </c:pt>
                <c:pt idx="73">
                  <c:v>235.92232360841447</c:v>
                </c:pt>
                <c:pt idx="74">
                  <c:v>232.73418410019266</c:v>
                </c:pt>
                <c:pt idx="75">
                  <c:v>229.63106164552332</c:v>
                </c:pt>
                <c:pt idx="76">
                  <c:v>226.60960030808229</c:v>
                </c:pt>
                <c:pt idx="77">
                  <c:v>223.66661848589936</c:v>
                </c:pt>
                <c:pt idx="78">
                  <c:v>220.79909773608014</c:v>
                </c:pt>
                <c:pt idx="79">
                  <c:v>218.00417244828165</c:v>
                </c:pt>
                <c:pt idx="80">
                  <c:v>215.27912029267819</c:v>
                </c:pt>
                <c:pt idx="81">
                  <c:v>212.6213533754846</c:v>
                </c:pt>
                <c:pt idx="82">
                  <c:v>210.02841004163724</c:v>
                </c:pt>
                <c:pt idx="83">
                  <c:v>207.4979472700513</c:v>
                </c:pt>
                <c:pt idx="84">
                  <c:v>205.02773361207446</c:v>
                </c:pt>
                <c:pt idx="85">
                  <c:v>202.61564262840301</c:v>
                </c:pt>
                <c:pt idx="86">
                  <c:v>200.25964678388669</c:v>
                </c:pt>
                <c:pt idx="87">
                  <c:v>197.95781176338224</c:v>
                </c:pt>
                <c:pt idx="88">
                  <c:v>195.708291175162</c:v>
                </c:pt>
                <c:pt idx="89">
                  <c:v>193.50932161139613</c:v>
                </c:pt>
                <c:pt idx="90">
                  <c:v>191.35921803793613</c:v>
                </c:pt>
                <c:pt idx="91">
                  <c:v>189.25636948806874</c:v>
                </c:pt>
                <c:pt idx="92">
                  <c:v>187.19923503711146</c:v>
                </c:pt>
                <c:pt idx="93">
                  <c:v>185.18634003671241</c:v>
                </c:pt>
                <c:pt idx="94">
                  <c:v>183.21627258951338</c:v>
                </c:pt>
                <c:pt idx="95">
                  <c:v>181.28768024646584</c:v>
                </c:pt>
                <c:pt idx="96">
                  <c:v>179.39926691056513</c:v>
                </c:pt>
                <c:pt idx="97">
                  <c:v>177.54978993210571</c:v>
                </c:pt>
                <c:pt idx="98">
                  <c:v>175.73805738177813</c:v>
                </c:pt>
                <c:pt idx="99">
                  <c:v>173.96292548903287</c:v>
                </c:pt>
                <c:pt idx="100">
                  <c:v>172.22329623414251</c:v>
                </c:pt>
              </c:numCache>
            </c:numRef>
          </c:val>
          <c:smooth val="0"/>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19.000000000000004</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38.000000000000007</c:v>
                </c:pt>
                <c:pt idx="39">
                  <c:v>39</c:v>
                </c:pt>
                <c:pt idx="40">
                  <c:v>40</c:v>
                </c:pt>
                <c:pt idx="41">
                  <c:v>40.999999999999993</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71.000000000000014</c:v>
                </c:pt>
                <c:pt idx="72">
                  <c:v>72</c:v>
                </c:pt>
                <c:pt idx="73">
                  <c:v>73</c:v>
                </c:pt>
                <c:pt idx="74">
                  <c:v>74</c:v>
                </c:pt>
                <c:pt idx="75">
                  <c:v>75</c:v>
                </c:pt>
                <c:pt idx="76">
                  <c:v>76.000000000000014</c:v>
                </c:pt>
                <c:pt idx="77">
                  <c:v>77</c:v>
                </c:pt>
                <c:pt idx="78">
                  <c:v>78</c:v>
                </c:pt>
                <c:pt idx="79">
                  <c:v>79</c:v>
                </c:pt>
                <c:pt idx="80">
                  <c:v>80</c:v>
                </c:pt>
                <c:pt idx="81">
                  <c:v>81.000000000000014</c:v>
                </c:pt>
                <c:pt idx="82">
                  <c:v>81.999999999999986</c:v>
                </c:pt>
                <c:pt idx="83">
                  <c:v>83</c:v>
                </c:pt>
                <c:pt idx="84">
                  <c:v>84</c:v>
                </c:pt>
                <c:pt idx="85">
                  <c:v>85</c:v>
                </c:pt>
                <c:pt idx="86">
                  <c:v>86</c:v>
                </c:pt>
                <c:pt idx="87">
                  <c:v>86.999999999999986</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Dual'!$CD$110:$CD$210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103.81741568073944</c:v>
                </c:pt>
                <c:pt idx="98">
                  <c:v>-50</c:v>
                </c:pt>
                <c:pt idx="99">
                  <c:v>-50</c:v>
                </c:pt>
                <c:pt idx="100">
                  <c:v>-50</c:v>
                </c:pt>
              </c:numCache>
            </c:numRef>
          </c:val>
          <c:smooth val="0"/>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19.000000000000004</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38.000000000000007</c:v>
                </c:pt>
                <c:pt idx="39">
                  <c:v>39</c:v>
                </c:pt>
                <c:pt idx="40">
                  <c:v>40</c:v>
                </c:pt>
                <c:pt idx="41">
                  <c:v>40.999999999999993</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71.000000000000014</c:v>
                </c:pt>
                <c:pt idx="72">
                  <c:v>72</c:v>
                </c:pt>
                <c:pt idx="73">
                  <c:v>73</c:v>
                </c:pt>
                <c:pt idx="74">
                  <c:v>74</c:v>
                </c:pt>
                <c:pt idx="75">
                  <c:v>75</c:v>
                </c:pt>
                <c:pt idx="76">
                  <c:v>76.000000000000014</c:v>
                </c:pt>
                <c:pt idx="77">
                  <c:v>77</c:v>
                </c:pt>
                <c:pt idx="78">
                  <c:v>78</c:v>
                </c:pt>
                <c:pt idx="79">
                  <c:v>79</c:v>
                </c:pt>
                <c:pt idx="80">
                  <c:v>80</c:v>
                </c:pt>
                <c:pt idx="81">
                  <c:v>81.000000000000014</c:v>
                </c:pt>
                <c:pt idx="82">
                  <c:v>81.999999999999986</c:v>
                </c:pt>
                <c:pt idx="83">
                  <c:v>83</c:v>
                </c:pt>
                <c:pt idx="84">
                  <c:v>84</c:v>
                </c:pt>
                <c:pt idx="85">
                  <c:v>85</c:v>
                </c:pt>
                <c:pt idx="86">
                  <c:v>86</c:v>
                </c:pt>
                <c:pt idx="87">
                  <c:v>86.999999999999986</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Dual'!$CD$5:$CD$105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19.000000000000004</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38.000000000000007</c:v>
                </c:pt>
                <c:pt idx="39">
                  <c:v>39</c:v>
                </c:pt>
                <c:pt idx="40">
                  <c:v>40</c:v>
                </c:pt>
                <c:pt idx="41">
                  <c:v>40.999999999999993</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71.000000000000014</c:v>
                </c:pt>
                <c:pt idx="72">
                  <c:v>72</c:v>
                </c:pt>
                <c:pt idx="73">
                  <c:v>73</c:v>
                </c:pt>
                <c:pt idx="74">
                  <c:v>74</c:v>
                </c:pt>
                <c:pt idx="75">
                  <c:v>75</c:v>
                </c:pt>
                <c:pt idx="76">
                  <c:v>76.000000000000014</c:v>
                </c:pt>
                <c:pt idx="77">
                  <c:v>77</c:v>
                </c:pt>
                <c:pt idx="78">
                  <c:v>78</c:v>
                </c:pt>
                <c:pt idx="79">
                  <c:v>79</c:v>
                </c:pt>
                <c:pt idx="80">
                  <c:v>80</c:v>
                </c:pt>
                <c:pt idx="81">
                  <c:v>81.000000000000014</c:v>
                </c:pt>
                <c:pt idx="82">
                  <c:v>81.999999999999986</c:v>
                </c:pt>
                <c:pt idx="83">
                  <c:v>83</c:v>
                </c:pt>
                <c:pt idx="84">
                  <c:v>84</c:v>
                </c:pt>
                <c:pt idx="85">
                  <c:v>85</c:v>
                </c:pt>
                <c:pt idx="86">
                  <c:v>86</c:v>
                </c:pt>
                <c:pt idx="87">
                  <c:v>86.999999999999986</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Dual'!$CD$216:$CD$316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dLbls>
          <c:showLegendKey val="0"/>
          <c:showVal val="0"/>
          <c:showCatName val="0"/>
          <c:showSerName val="0"/>
          <c:showPercent val="0"/>
          <c:showBubbleSize val="0"/>
        </c:dLbls>
        <c:marker val="1"/>
        <c:smooth val="0"/>
        <c:axId val="188409344"/>
        <c:axId val="188411264"/>
      </c:lineChart>
      <c:lineChart>
        <c:grouping val="standard"/>
        <c:varyColors val="0"/>
        <c:ser>
          <c:idx val="6"/>
          <c:order val="6"/>
          <c:tx>
            <c:v>D1</c:v>
          </c:tx>
          <c:spPr>
            <a:ln w="25400">
              <a:solidFill>
                <a:srgbClr val="0000FF"/>
              </a:solidFill>
              <a:prstDash val="lgDash"/>
            </a:ln>
          </c:spPr>
          <c:marker>
            <c:symbol val="none"/>
          </c:marker>
          <c:val>
            <c:numRef>
              <c:f>'Calculations - Dual'!$AU$5:$AU$105</c:f>
              <c:numCache>
                <c:formatCode>0.000</c:formatCode>
                <c:ptCount val="101"/>
                <c:pt idx="0">
                  <c:v>1.1358333333333333E-2</c:v>
                </c:pt>
                <c:pt idx="1">
                  <c:v>1.5330459770114942E-2</c:v>
                </c:pt>
                <c:pt idx="2">
                  <c:v>3.0660919540229883E-2</c:v>
                </c:pt>
                <c:pt idx="3">
                  <c:v>4.5991379310344839E-2</c:v>
                </c:pt>
                <c:pt idx="4">
                  <c:v>6.1321839080459767E-2</c:v>
                </c:pt>
                <c:pt idx="5">
                  <c:v>7.6652298850574715E-2</c:v>
                </c:pt>
                <c:pt idx="6">
                  <c:v>9.1982758620689678E-2</c:v>
                </c:pt>
                <c:pt idx="7">
                  <c:v>0.10731321839080464</c:v>
                </c:pt>
                <c:pt idx="8">
                  <c:v>0.12264367816091953</c:v>
                </c:pt>
                <c:pt idx="9">
                  <c:v>0.13797413793103447</c:v>
                </c:pt>
                <c:pt idx="10">
                  <c:v>0.15330459770114943</c:v>
                </c:pt>
                <c:pt idx="11">
                  <c:v>0.16863505747126439</c:v>
                </c:pt>
                <c:pt idx="12">
                  <c:v>0.18396551724137936</c:v>
                </c:pt>
                <c:pt idx="13">
                  <c:v>0.19929597701149429</c:v>
                </c:pt>
                <c:pt idx="14">
                  <c:v>0.21676868865405272</c:v>
                </c:pt>
                <c:pt idx="15">
                  <c:v>0.24040383168851906</c:v>
                </c:pt>
                <c:pt idx="16">
                  <c:v>0.26484054371387317</c:v>
                </c:pt>
                <c:pt idx="17">
                  <c:v>0.29005334541455124</c:v>
                </c:pt>
                <c:pt idx="18">
                  <c:v>0.31601904366354522</c:v>
                </c:pt>
                <c:pt idx="19">
                  <c:v>0.34271640871596326</c:v>
                </c:pt>
                <c:pt idx="20">
                  <c:v>0.3701259118388906</c:v>
                </c:pt>
                <c:pt idx="21">
                  <c:v>0.39822950956099656</c:v>
                </c:pt>
                <c:pt idx="22">
                  <c:v>0.42701046440104135</c:v>
                </c:pt>
                <c:pt idx="23">
                  <c:v>0.45645319450731692</c:v>
                </c:pt>
                <c:pt idx="24">
                  <c:v>0.4865431464751892</c:v>
                </c:pt>
                <c:pt idx="25">
                  <c:v>0.51726668694115863</c:v>
                </c:pt>
                <c:pt idx="26">
                  <c:v>0.54716542288415848</c:v>
                </c:pt>
                <c:pt idx="27">
                  <c:v>0.55758855798877371</c:v>
                </c:pt>
                <c:pt idx="28">
                  <c:v>0.56782039413885099</c:v>
                </c:pt>
                <c:pt idx="29">
                  <c:v>0.57787109289183147</c:v>
                </c:pt>
                <c:pt idx="30">
                  <c:v>0.58774994683113324</c:v>
                </c:pt>
                <c:pt idx="31">
                  <c:v>0.59746548017437784</c:v>
                </c:pt>
                <c:pt idx="32">
                  <c:v>0.60702553488300637</c:v>
                </c:pt>
                <c:pt idx="33">
                  <c:v>0.61643734474802858</c:v>
                </c:pt>
                <c:pt idx="34">
                  <c:v>0.62570759944242316</c:v>
                </c:pt>
                <c:pt idx="35">
                  <c:v>0.63484250015259691</c:v>
                </c:pt>
                <c:pt idx="36">
                  <c:v>0.64384780810374731</c:v>
                </c:pt>
                <c:pt idx="37">
                  <c:v>0.65132573189967558</c:v>
                </c:pt>
                <c:pt idx="38">
                  <c:v>0.64269852010430384</c:v>
                </c:pt>
                <c:pt idx="39">
                  <c:v>0.63440528852602895</c:v>
                </c:pt>
                <c:pt idx="40">
                  <c:v>0.62642503011697204</c:v>
                </c:pt>
                <c:pt idx="41">
                  <c:v>0.61873854232864389</c:v>
                </c:pt>
                <c:pt idx="42">
                  <c:v>0.61132823258794011</c:v>
                </c:pt>
                <c:pt idx="43">
                  <c:v>0.60417794880358811</c:v>
                </c:pt>
                <c:pt idx="44">
                  <c:v>0.59727283118357632</c:v>
                </c:pt>
                <c:pt idx="45">
                  <c:v>0.59059918226759767</c:v>
                </c:pt>
                <c:pt idx="46">
                  <c:v>0.58414435258615993</c:v>
                </c:pt>
                <c:pt idx="47">
                  <c:v>0.57789663977334105</c:v>
                </c:pt>
                <c:pt idx="48">
                  <c:v>0.5718451993015311</c:v>
                </c:pt>
                <c:pt idx="49">
                  <c:v>0.56597996528834416</c:v>
                </c:pt>
                <c:pt idx="50">
                  <c:v>0.56029158005956092</c:v>
                </c:pt>
                <c:pt idx="51">
                  <c:v>0.55477133134649304</c:v>
                </c:pt>
                <c:pt idx="52">
                  <c:v>0.54941109615873773</c:v>
                </c:pt>
                <c:pt idx="53">
                  <c:v>0.54420329050966498</c:v>
                </c:pt>
                <c:pt idx="54">
                  <c:v>0.53914082428678045</c:v>
                </c:pt>
                <c:pt idx="55">
                  <c:v>0.5342170606560932</c:v>
                </c:pt>
                <c:pt idx="56">
                  <c:v>0.52942577947179814</c:v>
                </c:pt>
                <c:pt idx="57">
                  <c:v>0.52476114423247366</c:v>
                </c:pt>
                <c:pt idx="58">
                  <c:v>0.52021767218457471</c:v>
                </c:pt>
                <c:pt idx="59">
                  <c:v>0.51579020722497837</c:v>
                </c:pt>
                <c:pt idx="60">
                  <c:v>0.51147389529805554</c:v>
                </c:pt>
                <c:pt idx="61">
                  <c:v>0.50726416202033864</c:v>
                </c:pt>
                <c:pt idx="62">
                  <c:v>0.50315669229828219</c:v>
                </c:pt>
                <c:pt idx="63">
                  <c:v>0.49914741173264282</c:v>
                </c:pt>
                <c:pt idx="64">
                  <c:v>0.49523246962730133</c:v>
                </c:pt>
                <c:pt idx="65">
                  <c:v>0.4914082234414443</c:v>
                </c:pt>
                <c:pt idx="66">
                  <c:v>0.48767122454241302</c:v>
                </c:pt>
                <c:pt idx="67">
                  <c:v>0.48401820513254568</c:v>
                </c:pt>
                <c:pt idx="68">
                  <c:v>0.48044606623737723</c:v>
                </c:pt>
                <c:pt idx="69">
                  <c:v>0.47695186665483963</c:v>
                </c:pt>
                <c:pt idx="70">
                  <c:v>0.47353281277590148</c:v>
                </c:pt>
                <c:pt idx="71">
                  <c:v>0.47018624919658047</c:v>
                </c:pt>
                <c:pt idx="72">
                  <c:v>0.46690965004963436</c:v>
                </c:pt>
                <c:pt idx="73">
                  <c:v>0.46370061099161791</c:v>
                </c:pt>
                <c:pt idx="74">
                  <c:v>0.66896551724137943</c:v>
                </c:pt>
                <c:pt idx="75">
                  <c:v>0.66896551724137943</c:v>
                </c:pt>
                <c:pt idx="76">
                  <c:v>0.66896551724137909</c:v>
                </c:pt>
                <c:pt idx="77">
                  <c:v>0.66896551724137943</c:v>
                </c:pt>
                <c:pt idx="78">
                  <c:v>0.66896551724137943</c:v>
                </c:pt>
                <c:pt idx="79">
                  <c:v>0.66896551724137931</c:v>
                </c:pt>
                <c:pt idx="80">
                  <c:v>0.66896551724137943</c:v>
                </c:pt>
                <c:pt idx="81">
                  <c:v>0.6689655172413792</c:v>
                </c:pt>
                <c:pt idx="82">
                  <c:v>0.66896551724137943</c:v>
                </c:pt>
                <c:pt idx="83">
                  <c:v>0.66896551724137943</c:v>
                </c:pt>
                <c:pt idx="84">
                  <c:v>0.66896551724137931</c:v>
                </c:pt>
                <c:pt idx="85">
                  <c:v>0.6689655172413792</c:v>
                </c:pt>
                <c:pt idx="86">
                  <c:v>0.66896551724137931</c:v>
                </c:pt>
                <c:pt idx="87">
                  <c:v>0.66896551724137931</c:v>
                </c:pt>
                <c:pt idx="88">
                  <c:v>0.6689655172413792</c:v>
                </c:pt>
                <c:pt idx="89">
                  <c:v>0.66896551724137931</c:v>
                </c:pt>
                <c:pt idx="90">
                  <c:v>0.66896551724137943</c:v>
                </c:pt>
                <c:pt idx="91">
                  <c:v>0.66896551724137931</c:v>
                </c:pt>
                <c:pt idx="92">
                  <c:v>0.66896551724137943</c:v>
                </c:pt>
                <c:pt idx="93">
                  <c:v>0.66896551724137943</c:v>
                </c:pt>
                <c:pt idx="94">
                  <c:v>0.66896551724137943</c:v>
                </c:pt>
                <c:pt idx="95">
                  <c:v>0.6689655172413792</c:v>
                </c:pt>
                <c:pt idx="96">
                  <c:v>0.66896551724137943</c:v>
                </c:pt>
                <c:pt idx="97">
                  <c:v>0.6689655172413792</c:v>
                </c:pt>
                <c:pt idx="98">
                  <c:v>0.66896551724137931</c:v>
                </c:pt>
                <c:pt idx="99">
                  <c:v>0.66896551724137931</c:v>
                </c:pt>
                <c:pt idx="100">
                  <c:v>0.6689655172413792</c:v>
                </c:pt>
              </c:numCache>
            </c:numRef>
          </c:val>
          <c:smooth val="0"/>
        </c:ser>
        <c:ser>
          <c:idx val="7"/>
          <c:order val="7"/>
          <c:spPr>
            <a:ln w="25400">
              <a:solidFill>
                <a:srgbClr val="00B050"/>
              </a:solidFill>
              <a:prstDash val="dash"/>
            </a:ln>
          </c:spPr>
          <c:marker>
            <c:symbol val="none"/>
          </c:marker>
          <c:val>
            <c:numRef>
              <c:f>'Calculations - Dual'!$AU$110:$AU$210</c:f>
              <c:numCache>
                <c:formatCode>0.000</c:formatCode>
                <c:ptCount val="101"/>
                <c:pt idx="0">
                  <c:v>1.363E-2</c:v>
                </c:pt>
                <c:pt idx="1">
                  <c:v>1.8396551724137931E-2</c:v>
                </c:pt>
                <c:pt idx="2">
                  <c:v>3.6793103448275861E-2</c:v>
                </c:pt>
                <c:pt idx="3">
                  <c:v>5.518965517241381E-2</c:v>
                </c:pt>
                <c:pt idx="4">
                  <c:v>7.3586206896551723E-2</c:v>
                </c:pt>
                <c:pt idx="5">
                  <c:v>9.1982758620689678E-2</c:v>
                </c:pt>
                <c:pt idx="6">
                  <c:v>0.11037931034482762</c:v>
                </c:pt>
                <c:pt idx="7">
                  <c:v>0.12877586206896557</c:v>
                </c:pt>
                <c:pt idx="8">
                  <c:v>0.14717241379310345</c:v>
                </c:pt>
                <c:pt idx="9">
                  <c:v>0.16556896551724137</c:v>
                </c:pt>
                <c:pt idx="10">
                  <c:v>0.18396551724137936</c:v>
                </c:pt>
                <c:pt idx="11">
                  <c:v>0.20236206896551728</c:v>
                </c:pt>
                <c:pt idx="12">
                  <c:v>0.22075862068965524</c:v>
                </c:pt>
                <c:pt idx="13">
                  <c:v>0.23915517241379314</c:v>
                </c:pt>
                <c:pt idx="14">
                  <c:v>0.26012242638486327</c:v>
                </c:pt>
                <c:pt idx="15">
                  <c:v>0.28848459802622289</c:v>
                </c:pt>
                <c:pt idx="16">
                  <c:v>0.31780865245664774</c:v>
                </c:pt>
                <c:pt idx="17">
                  <c:v>0.34806401449746149</c:v>
                </c:pt>
                <c:pt idx="18">
                  <c:v>0.37922285239625425</c:v>
                </c:pt>
                <c:pt idx="19">
                  <c:v>0.41125969045915595</c:v>
                </c:pt>
                <c:pt idx="20">
                  <c:v>0.44415109420666876</c:v>
                </c:pt>
                <c:pt idx="21">
                  <c:v>0.4778754114731959</c:v>
                </c:pt>
                <c:pt idx="22">
                  <c:v>0.51241255728124957</c:v>
                </c:pt>
                <c:pt idx="23">
                  <c:v>0.5477438334087803</c:v>
                </c:pt>
                <c:pt idx="24">
                  <c:v>0.58385177577022707</c:v>
                </c:pt>
                <c:pt idx="25">
                  <c:v>0.62072002432939033</c:v>
                </c:pt>
                <c:pt idx="26">
                  <c:v>0.65659850746099013</c:v>
                </c:pt>
                <c:pt idx="27">
                  <c:v>0.66910626958652841</c:v>
                </c:pt>
                <c:pt idx="28">
                  <c:v>0.68138447296662119</c:v>
                </c:pt>
                <c:pt idx="29">
                  <c:v>0.6867738073137466</c:v>
                </c:pt>
                <c:pt idx="30">
                  <c:v>0.70802919708029199</c:v>
                </c:pt>
                <c:pt idx="31">
                  <c:v>0.70802919708029199</c:v>
                </c:pt>
                <c:pt idx="32">
                  <c:v>0.70802919708029177</c:v>
                </c:pt>
                <c:pt idx="33">
                  <c:v>0.70802919708029199</c:v>
                </c:pt>
                <c:pt idx="34">
                  <c:v>0.70802919708029211</c:v>
                </c:pt>
                <c:pt idx="35">
                  <c:v>0.70802919708029199</c:v>
                </c:pt>
                <c:pt idx="36">
                  <c:v>0.70802919708029188</c:v>
                </c:pt>
                <c:pt idx="37">
                  <c:v>0.70802919708029199</c:v>
                </c:pt>
                <c:pt idx="38">
                  <c:v>0.70802919708029199</c:v>
                </c:pt>
                <c:pt idx="39">
                  <c:v>0.70802919708029199</c:v>
                </c:pt>
                <c:pt idx="40">
                  <c:v>0.70802919708029199</c:v>
                </c:pt>
                <c:pt idx="41">
                  <c:v>0.70802919708029188</c:v>
                </c:pt>
                <c:pt idx="42">
                  <c:v>0.70802919708029199</c:v>
                </c:pt>
                <c:pt idx="43">
                  <c:v>0.70802919708029211</c:v>
                </c:pt>
                <c:pt idx="44">
                  <c:v>0.70802919708029199</c:v>
                </c:pt>
                <c:pt idx="45">
                  <c:v>0.70802919708029199</c:v>
                </c:pt>
                <c:pt idx="46">
                  <c:v>0.70802919708029199</c:v>
                </c:pt>
                <c:pt idx="47">
                  <c:v>0.70802919708029199</c:v>
                </c:pt>
                <c:pt idx="48">
                  <c:v>0.70802919708029188</c:v>
                </c:pt>
                <c:pt idx="49">
                  <c:v>0.70802919708029188</c:v>
                </c:pt>
                <c:pt idx="50">
                  <c:v>0.70802919708029199</c:v>
                </c:pt>
                <c:pt idx="51">
                  <c:v>0.70802919708029199</c:v>
                </c:pt>
                <c:pt idx="52">
                  <c:v>0.70802919708029199</c:v>
                </c:pt>
                <c:pt idx="53">
                  <c:v>0.70802919708029199</c:v>
                </c:pt>
                <c:pt idx="54">
                  <c:v>0.70802919708029199</c:v>
                </c:pt>
                <c:pt idx="55">
                  <c:v>0.70802919708029199</c:v>
                </c:pt>
                <c:pt idx="56">
                  <c:v>0.70802919708029199</c:v>
                </c:pt>
                <c:pt idx="57">
                  <c:v>0.70802919708029199</c:v>
                </c:pt>
                <c:pt idx="58">
                  <c:v>0.70802919708029211</c:v>
                </c:pt>
                <c:pt idx="59">
                  <c:v>0.70802919708029211</c:v>
                </c:pt>
                <c:pt idx="60">
                  <c:v>0.70802919708029199</c:v>
                </c:pt>
                <c:pt idx="61">
                  <c:v>0.70802919708029211</c:v>
                </c:pt>
                <c:pt idx="62">
                  <c:v>0.70802919708029199</c:v>
                </c:pt>
                <c:pt idx="63">
                  <c:v>0.70802919708029199</c:v>
                </c:pt>
                <c:pt idx="64">
                  <c:v>0.70802919708029177</c:v>
                </c:pt>
                <c:pt idx="65">
                  <c:v>0.70802919708029188</c:v>
                </c:pt>
                <c:pt idx="66">
                  <c:v>0.70802919708029199</c:v>
                </c:pt>
                <c:pt idx="67">
                  <c:v>0.70802919708029211</c:v>
                </c:pt>
                <c:pt idx="68">
                  <c:v>0.70802919708029211</c:v>
                </c:pt>
                <c:pt idx="69">
                  <c:v>0.70802919708029199</c:v>
                </c:pt>
                <c:pt idx="70">
                  <c:v>0.70802919708029199</c:v>
                </c:pt>
                <c:pt idx="71">
                  <c:v>0.70802919708029199</c:v>
                </c:pt>
                <c:pt idx="72">
                  <c:v>0.70802919708029188</c:v>
                </c:pt>
                <c:pt idx="73">
                  <c:v>0.70802919708029188</c:v>
                </c:pt>
                <c:pt idx="74">
                  <c:v>0.70802919708029199</c:v>
                </c:pt>
                <c:pt idx="75">
                  <c:v>0.70802919708029199</c:v>
                </c:pt>
                <c:pt idx="76">
                  <c:v>0.70802919708029199</c:v>
                </c:pt>
                <c:pt idx="77">
                  <c:v>0.70802919708029199</c:v>
                </c:pt>
                <c:pt idx="78">
                  <c:v>0.70802919708029199</c:v>
                </c:pt>
                <c:pt idx="79">
                  <c:v>0.70802919708029211</c:v>
                </c:pt>
                <c:pt idx="80">
                  <c:v>0.70802919708029199</c:v>
                </c:pt>
                <c:pt idx="81">
                  <c:v>0.70802919708029188</c:v>
                </c:pt>
                <c:pt idx="82">
                  <c:v>0.70802919708029188</c:v>
                </c:pt>
                <c:pt idx="83">
                  <c:v>0.70802919708029199</c:v>
                </c:pt>
                <c:pt idx="84">
                  <c:v>0.70802919708029199</c:v>
                </c:pt>
                <c:pt idx="85">
                  <c:v>0.70802919708029199</c:v>
                </c:pt>
                <c:pt idx="86">
                  <c:v>0.70802919708029211</c:v>
                </c:pt>
                <c:pt idx="87">
                  <c:v>0.70802919708029177</c:v>
                </c:pt>
                <c:pt idx="88">
                  <c:v>0.70802919708029199</c:v>
                </c:pt>
                <c:pt idx="89">
                  <c:v>0.70802919708029188</c:v>
                </c:pt>
                <c:pt idx="90">
                  <c:v>0.70802919708029199</c:v>
                </c:pt>
                <c:pt idx="91">
                  <c:v>0.70802919708029199</c:v>
                </c:pt>
                <c:pt idx="92">
                  <c:v>0.70802919708029199</c:v>
                </c:pt>
                <c:pt idx="93">
                  <c:v>0.70802919708029199</c:v>
                </c:pt>
                <c:pt idx="94">
                  <c:v>0.70802919708029199</c:v>
                </c:pt>
                <c:pt idx="95">
                  <c:v>0.70802919708029199</c:v>
                </c:pt>
                <c:pt idx="96">
                  <c:v>0.70802919708029188</c:v>
                </c:pt>
                <c:pt idx="97">
                  <c:v>0.70751568786423935</c:v>
                </c:pt>
                <c:pt idx="98">
                  <c:v>0.70541086781317563</c:v>
                </c:pt>
                <c:pt idx="99">
                  <c:v>0.70331897850285718</c:v>
                </c:pt>
                <c:pt idx="100">
                  <c:v>0.7012399011402104</c:v>
                </c:pt>
              </c:numCache>
            </c:numRef>
          </c:val>
          <c:smooth val="0"/>
        </c:ser>
        <c:ser>
          <c:idx val="8"/>
          <c:order val="8"/>
          <c:spPr>
            <a:ln w="25400">
              <a:solidFill>
                <a:srgbClr val="FF0000"/>
              </a:solidFill>
            </a:ln>
          </c:spPr>
          <c:marker>
            <c:symbol val="none"/>
          </c:marker>
          <c:val>
            <c:numRef>
              <c:f>'Calculations - Dual'!$AU$216:$AU$316</c:f>
              <c:numCache>
                <c:formatCode>0.000</c:formatCode>
                <c:ptCount val="101"/>
                <c:pt idx="0">
                  <c:v>9.0866666666666665E-3</c:v>
                </c:pt>
                <c:pt idx="1">
                  <c:v>1.2264367816091953E-2</c:v>
                </c:pt>
                <c:pt idx="2">
                  <c:v>2.4528735632183905E-2</c:v>
                </c:pt>
                <c:pt idx="3">
                  <c:v>3.6793103448275868E-2</c:v>
                </c:pt>
                <c:pt idx="4">
                  <c:v>4.9057471264367811E-2</c:v>
                </c:pt>
                <c:pt idx="5">
                  <c:v>6.1321839080459781E-2</c:v>
                </c:pt>
                <c:pt idx="6">
                  <c:v>7.3586206896551737E-2</c:v>
                </c:pt>
                <c:pt idx="7">
                  <c:v>8.5850574712643707E-2</c:v>
                </c:pt>
                <c:pt idx="8">
                  <c:v>9.8114942528735621E-2</c:v>
                </c:pt>
                <c:pt idx="9">
                  <c:v>0.11037931034482759</c:v>
                </c:pt>
                <c:pt idx="10">
                  <c:v>0.12264367816091956</c:v>
                </c:pt>
                <c:pt idx="11">
                  <c:v>0.13490804597701153</c:v>
                </c:pt>
                <c:pt idx="12">
                  <c:v>0.14717241379310347</c:v>
                </c:pt>
                <c:pt idx="13">
                  <c:v>0.15943678160919542</c:v>
                </c:pt>
                <c:pt idx="14">
                  <c:v>0.17341495092324216</c:v>
                </c:pt>
                <c:pt idx="15">
                  <c:v>0.19232306535081528</c:v>
                </c:pt>
                <c:pt idx="16">
                  <c:v>0.21187243497109853</c:v>
                </c:pt>
                <c:pt idx="17">
                  <c:v>0.23204267633164097</c:v>
                </c:pt>
                <c:pt idx="18">
                  <c:v>0.25281523493083619</c:v>
                </c:pt>
                <c:pt idx="19">
                  <c:v>0.27417312697277058</c:v>
                </c:pt>
                <c:pt idx="20">
                  <c:v>0.29610072947111254</c:v>
                </c:pt>
                <c:pt idx="21">
                  <c:v>0.31858360764879723</c:v>
                </c:pt>
                <c:pt idx="22">
                  <c:v>0.34160837152083312</c:v>
                </c:pt>
                <c:pt idx="23">
                  <c:v>0.36516255560585353</c:v>
                </c:pt>
                <c:pt idx="24">
                  <c:v>0.38923451718015134</c:v>
                </c:pt>
                <c:pt idx="25">
                  <c:v>0.41381334955292692</c:v>
                </c:pt>
                <c:pt idx="26">
                  <c:v>0.43773233830732672</c:v>
                </c:pt>
                <c:pt idx="27">
                  <c:v>0.44607084639101896</c:v>
                </c:pt>
                <c:pt idx="28">
                  <c:v>0.45425631531108079</c:v>
                </c:pt>
                <c:pt idx="29">
                  <c:v>0.46229687431346528</c:v>
                </c:pt>
                <c:pt idx="30">
                  <c:v>0.47019995746490656</c:v>
                </c:pt>
                <c:pt idx="31">
                  <c:v>0.47797238413950227</c:v>
                </c:pt>
                <c:pt idx="32">
                  <c:v>0.48562042790640514</c:v>
                </c:pt>
                <c:pt idx="33">
                  <c:v>0.49314987579842295</c:v>
                </c:pt>
                <c:pt idx="34">
                  <c:v>0.50056607955393861</c:v>
                </c:pt>
                <c:pt idx="35">
                  <c:v>0.50787400012207751</c:v>
                </c:pt>
                <c:pt idx="36">
                  <c:v>0.51507824648299794</c:v>
                </c:pt>
                <c:pt idx="37">
                  <c:v>0.52218310964641501</c:v>
                </c:pt>
                <c:pt idx="38">
                  <c:v>0.52919259254074968</c:v>
                </c:pt>
                <c:pt idx="39">
                  <c:v>0.53611043638414646</c:v>
                </c:pt>
                <c:pt idx="40">
                  <c:v>0.54294014403062874</c:v>
                </c:pt>
                <c:pt idx="41">
                  <c:v>0.54968500070494908</c:v>
                </c:pt>
                <c:pt idx="42">
                  <c:v>0.55634809247448669</c:v>
                </c:pt>
                <c:pt idx="43">
                  <c:v>0.56293232275292204</c:v>
                </c:pt>
                <c:pt idx="44">
                  <c:v>0.5694404270861001</c:v>
                </c:pt>
                <c:pt idx="45">
                  <c:v>0.57587498643368762</c:v>
                </c:pt>
                <c:pt idx="46">
                  <c:v>0.58223843912953732</c:v>
                </c:pt>
                <c:pt idx="47">
                  <c:v>0.58853309167794476</c:v>
                </c:pt>
                <c:pt idx="48">
                  <c:v>0.59476112852135843</c:v>
                </c:pt>
                <c:pt idx="49">
                  <c:v>0.60092462089683085</c:v>
                </c:pt>
                <c:pt idx="50">
                  <c:v>0.5973939343762561</c:v>
                </c:pt>
                <c:pt idx="51">
                  <c:v>0.59150813631181842</c:v>
                </c:pt>
                <c:pt idx="52">
                  <c:v>0.61783439490445857</c:v>
                </c:pt>
                <c:pt idx="53">
                  <c:v>0.61783439490445868</c:v>
                </c:pt>
                <c:pt idx="54">
                  <c:v>0.61783439490445857</c:v>
                </c:pt>
                <c:pt idx="55">
                  <c:v>0.61783439490445857</c:v>
                </c:pt>
                <c:pt idx="56">
                  <c:v>0.61783439490445857</c:v>
                </c:pt>
                <c:pt idx="57">
                  <c:v>0.61783439490445857</c:v>
                </c:pt>
                <c:pt idx="58">
                  <c:v>0.61783439490445846</c:v>
                </c:pt>
                <c:pt idx="59">
                  <c:v>0.61783439490445857</c:v>
                </c:pt>
                <c:pt idx="60">
                  <c:v>0.61783439490445868</c:v>
                </c:pt>
                <c:pt idx="61">
                  <c:v>0.61783439490445857</c:v>
                </c:pt>
                <c:pt idx="62">
                  <c:v>0.61783439490445857</c:v>
                </c:pt>
                <c:pt idx="63">
                  <c:v>0.61783439490445857</c:v>
                </c:pt>
                <c:pt idx="64">
                  <c:v>0.61783439490445857</c:v>
                </c:pt>
                <c:pt idx="65">
                  <c:v>0.61783439490445857</c:v>
                </c:pt>
                <c:pt idx="66">
                  <c:v>0.61783439490445846</c:v>
                </c:pt>
                <c:pt idx="67">
                  <c:v>0.61783439490445857</c:v>
                </c:pt>
                <c:pt idx="68">
                  <c:v>0.61783439490445857</c:v>
                </c:pt>
                <c:pt idx="69">
                  <c:v>0.61783439490445868</c:v>
                </c:pt>
                <c:pt idx="70">
                  <c:v>0.61783439490445868</c:v>
                </c:pt>
                <c:pt idx="71">
                  <c:v>0.61783439490445868</c:v>
                </c:pt>
                <c:pt idx="72">
                  <c:v>0.61783439490445857</c:v>
                </c:pt>
                <c:pt idx="73">
                  <c:v>0.61783439490445868</c:v>
                </c:pt>
                <c:pt idx="74">
                  <c:v>0.61783439490445857</c:v>
                </c:pt>
                <c:pt idx="75">
                  <c:v>0.61783439490445857</c:v>
                </c:pt>
                <c:pt idx="76">
                  <c:v>0.61783439490445868</c:v>
                </c:pt>
                <c:pt idx="77">
                  <c:v>0.61783439490445857</c:v>
                </c:pt>
                <c:pt idx="78">
                  <c:v>0.61783439490445857</c:v>
                </c:pt>
                <c:pt idx="79">
                  <c:v>0.61783439490445846</c:v>
                </c:pt>
                <c:pt idx="80">
                  <c:v>0.61783439490445857</c:v>
                </c:pt>
                <c:pt idx="81">
                  <c:v>0.61783439490445857</c:v>
                </c:pt>
                <c:pt idx="82">
                  <c:v>0.61783439490445857</c:v>
                </c:pt>
                <c:pt idx="83">
                  <c:v>0.61783439490445868</c:v>
                </c:pt>
                <c:pt idx="84">
                  <c:v>0.61783439490445868</c:v>
                </c:pt>
                <c:pt idx="85">
                  <c:v>0.61783439490445868</c:v>
                </c:pt>
                <c:pt idx="86">
                  <c:v>0.61783439490445868</c:v>
                </c:pt>
                <c:pt idx="87">
                  <c:v>0.61783439490445857</c:v>
                </c:pt>
                <c:pt idx="88">
                  <c:v>0.61783439490445857</c:v>
                </c:pt>
                <c:pt idx="89">
                  <c:v>0.61783439490445857</c:v>
                </c:pt>
                <c:pt idx="90">
                  <c:v>0.61783439490445868</c:v>
                </c:pt>
                <c:pt idx="91">
                  <c:v>0.61783439490445868</c:v>
                </c:pt>
                <c:pt idx="92">
                  <c:v>0.61783439490445868</c:v>
                </c:pt>
                <c:pt idx="93">
                  <c:v>0.61783439490445857</c:v>
                </c:pt>
                <c:pt idx="94">
                  <c:v>0.61783439490445868</c:v>
                </c:pt>
                <c:pt idx="95">
                  <c:v>0.61783439490445868</c:v>
                </c:pt>
                <c:pt idx="96">
                  <c:v>0.61783439490445857</c:v>
                </c:pt>
                <c:pt idx="97">
                  <c:v>0.61783439490445857</c:v>
                </c:pt>
                <c:pt idx="98">
                  <c:v>0.61783439490445857</c:v>
                </c:pt>
                <c:pt idx="99">
                  <c:v>0.61783439490445868</c:v>
                </c:pt>
                <c:pt idx="100">
                  <c:v>0.61783439490445868</c:v>
                </c:pt>
              </c:numCache>
            </c:numRef>
          </c:val>
          <c:smooth val="0"/>
        </c:ser>
        <c:dLbls>
          <c:showLegendKey val="0"/>
          <c:showVal val="0"/>
          <c:showCatName val="0"/>
          <c:showSerName val="0"/>
          <c:showPercent val="0"/>
          <c:showBubbleSize val="0"/>
        </c:dLbls>
        <c:marker val="1"/>
        <c:smooth val="0"/>
        <c:axId val="201067904"/>
        <c:axId val="201065984"/>
      </c:lineChart>
      <c:catAx>
        <c:axId val="188409344"/>
        <c:scaling>
          <c:orientation val="minMax"/>
        </c:scaling>
        <c:delete val="0"/>
        <c:axPos val="b"/>
        <c:majorGridlines>
          <c:spPr>
            <a:ln w="15875">
              <a:solidFill>
                <a:srgbClr val="969696"/>
              </a:solidFill>
              <a:prstDash val="sysDash"/>
            </a:ln>
          </c:spPr>
        </c:majorGridlines>
        <c:title>
          <c:tx>
            <c:rich>
              <a:bodyPr/>
              <a:lstStyle/>
              <a:p>
                <a:pPr>
                  <a:defRPr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sz="1400" b="1" i="0" u="none" strike="noStrike" baseline="0">
                <a:solidFill>
                  <a:schemeClr val="tx1"/>
                </a:solidFill>
                <a:latin typeface="Arial" pitchFamily="34" charset="0"/>
                <a:ea typeface="Calibri"/>
                <a:cs typeface="Arial" pitchFamily="34" charset="0"/>
              </a:defRPr>
            </a:pPr>
            <a:endParaRPr lang="en-US"/>
          </a:p>
        </c:txPr>
        <c:crossAx val="188411264"/>
        <c:crosses val="autoZero"/>
        <c:auto val="1"/>
        <c:lblAlgn val="ctr"/>
        <c:lblOffset val="100"/>
        <c:tickLblSkip val="20"/>
        <c:tickMarkSkip val="10"/>
        <c:noMultiLvlLbl val="0"/>
      </c:catAx>
      <c:valAx>
        <c:axId val="188411264"/>
        <c:scaling>
          <c:orientation val="minMax"/>
          <c:max val="400"/>
          <c:min val="0"/>
        </c:scaling>
        <c:delete val="0"/>
        <c:axPos val="l"/>
        <c:majorGridlines>
          <c:spPr>
            <a:ln w="15875">
              <a:solidFill>
                <a:srgbClr val="808080"/>
              </a:solidFill>
              <a:prstDash val="solid"/>
            </a:ln>
          </c:spPr>
        </c:majorGridlines>
        <c:title>
          <c:tx>
            <c:rich>
              <a:bodyPr/>
              <a:lstStyle/>
              <a:p>
                <a:pPr>
                  <a:defRPr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sz="1600" b="1" i="0" u="none" strike="noStrike" baseline="0">
                <a:solidFill>
                  <a:schemeClr val="tx1"/>
                </a:solidFill>
                <a:latin typeface="Arial" pitchFamily="34" charset="0"/>
                <a:ea typeface="Calibri"/>
                <a:cs typeface="Arial" pitchFamily="34" charset="0"/>
              </a:defRPr>
            </a:pPr>
            <a:endParaRPr lang="en-US"/>
          </a:p>
        </c:txPr>
        <c:crossAx val="188409344"/>
        <c:crossesAt val="0"/>
        <c:crossBetween val="between"/>
        <c:majorUnit val="50"/>
        <c:minorUnit val="25"/>
      </c:valAx>
      <c:valAx>
        <c:axId val="201065984"/>
        <c:scaling>
          <c:orientation val="minMax"/>
          <c:max val="0.60000000000000009"/>
        </c:scaling>
        <c:delete val="0"/>
        <c:axPos val="r"/>
        <c:title>
          <c:tx>
            <c:rich>
              <a:bodyPr rot="-5400000" vert="horz"/>
              <a:lstStyle/>
              <a:p>
                <a:pPr>
                  <a:defRPr sz="1600" b="1"/>
                </a:pPr>
                <a:r>
                  <a:rPr lang="en-US" sz="1600" b="1"/>
                  <a:t>Duty Cycle</a:t>
                </a:r>
              </a:p>
            </c:rich>
          </c:tx>
          <c:layout>
            <c:manualLayout>
              <c:xMode val="edge"/>
              <c:yMode val="edge"/>
              <c:x val="0.96331030941631779"/>
              <c:y val="0.35675917128406437"/>
            </c:manualLayout>
          </c:layout>
          <c:overlay val="0"/>
        </c:title>
        <c:numFmt formatCode="General" sourceLinked="0"/>
        <c:majorTickMark val="out"/>
        <c:minorTickMark val="none"/>
        <c:tickLblPos val="nextTo"/>
        <c:txPr>
          <a:bodyPr/>
          <a:lstStyle/>
          <a:p>
            <a:pPr>
              <a:defRPr sz="1400" b="1"/>
            </a:pPr>
            <a:endParaRPr lang="en-US"/>
          </a:p>
        </c:txPr>
        <c:crossAx val="201067904"/>
        <c:crosses val="max"/>
        <c:crossBetween val="between"/>
        <c:majorUnit val="0.1"/>
        <c:minorUnit val="5.000000000000001E-2"/>
      </c:valAx>
      <c:catAx>
        <c:axId val="201067904"/>
        <c:scaling>
          <c:orientation val="minMax"/>
        </c:scaling>
        <c:delete val="1"/>
        <c:axPos val="b"/>
        <c:majorTickMark val="out"/>
        <c:minorTickMark val="none"/>
        <c:tickLblPos val="nextTo"/>
        <c:crossAx val="201065984"/>
        <c:crosses val="autoZero"/>
        <c:auto val="1"/>
        <c:lblAlgn val="ctr"/>
        <c:lblOffset val="100"/>
        <c:noMultiLvlLbl val="0"/>
      </c:catAx>
      <c:spPr>
        <a:noFill/>
        <a:ln w="25400">
          <a:noFill/>
        </a:ln>
      </c:spPr>
    </c:plotArea>
    <c:legend>
      <c:legendPos val="t"/>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Dual'!$AI$110:$AI$210</c:f>
              <c:numCache>
                <c:formatCode>0.000</c:formatCode>
                <c:ptCount val="101"/>
                <c:pt idx="0">
                  <c:v>0.28999999999999998</c:v>
                </c:pt>
                <c:pt idx="1">
                  <c:v>0.28999999999999998</c:v>
                </c:pt>
                <c:pt idx="2">
                  <c:v>0.28999999999999998</c:v>
                </c:pt>
                <c:pt idx="3">
                  <c:v>0.28999999999999998</c:v>
                </c:pt>
                <c:pt idx="4">
                  <c:v>0.28999999999999998</c:v>
                </c:pt>
                <c:pt idx="5">
                  <c:v>0.28999999999999998</c:v>
                </c:pt>
                <c:pt idx="6">
                  <c:v>0.28999999999999998</c:v>
                </c:pt>
                <c:pt idx="7">
                  <c:v>0.28999999999999998</c:v>
                </c:pt>
                <c:pt idx="8">
                  <c:v>0.28999999999999998</c:v>
                </c:pt>
                <c:pt idx="9">
                  <c:v>0.28999999999999998</c:v>
                </c:pt>
                <c:pt idx="10">
                  <c:v>0.28999999999999998</c:v>
                </c:pt>
                <c:pt idx="11">
                  <c:v>0.28999999999999998</c:v>
                </c:pt>
                <c:pt idx="12">
                  <c:v>0.28999999999999998</c:v>
                </c:pt>
                <c:pt idx="13">
                  <c:v>0.28999999999999998</c:v>
                </c:pt>
                <c:pt idx="14">
                  <c:v>0.29289457837685084</c:v>
                </c:pt>
                <c:pt idx="15">
                  <c:v>0.30317469158394683</c:v>
                </c:pt>
                <c:pt idx="16">
                  <c:v>0.3131174750656523</c:v>
                </c:pt>
                <c:pt idx="17">
                  <c:v>0.3227541057305971</c:v>
                </c:pt>
                <c:pt idx="18">
                  <c:v>0.33211123489039862</c:v>
                </c:pt>
                <c:pt idx="19">
                  <c:v>0.34121185781694874</c:v>
                </c:pt>
                <c:pt idx="20">
                  <c:v>0.35007597959494696</c:v>
                </c:pt>
                <c:pt idx="21">
                  <c:v>0.35872113272544981</c:v>
                </c:pt>
                <c:pt idx="22">
                  <c:v>0.36716278493101379</c:v>
                </c:pt>
                <c:pt idx="23">
                  <c:v>0.37541466435498488</c:v>
                </c:pt>
                <c:pt idx="24">
                  <c:v>0.38348902172974136</c:v>
                </c:pt>
                <c:pt idx="25">
                  <c:v>0.39139684383206536</c:v>
                </c:pt>
                <c:pt idx="26">
                  <c:v>0.39914802885166578</c:v>
                </c:pt>
                <c:pt idx="27">
                  <c:v>0.40675153166354316</c:v>
                </c:pt>
                <c:pt idx="28">
                  <c:v>0.41421548508609191</c:v>
                </c:pt>
                <c:pt idx="29">
                  <c:v>0.42154730180559147</c:v>
                </c:pt>
                <c:pt idx="30">
                  <c:v>0.44958003255561585</c:v>
                </c:pt>
                <c:pt idx="31">
                  <c:v>0.46456603364080301</c:v>
                </c:pt>
                <c:pt idx="32">
                  <c:v>0.47955203472599023</c:v>
                </c:pt>
                <c:pt idx="33">
                  <c:v>0.49453803581117739</c:v>
                </c:pt>
                <c:pt idx="34">
                  <c:v>0.50952403689636461</c:v>
                </c:pt>
                <c:pt idx="35">
                  <c:v>0.52451003798155171</c:v>
                </c:pt>
                <c:pt idx="36">
                  <c:v>0.53949603906673893</c:v>
                </c:pt>
                <c:pt idx="37">
                  <c:v>0.55448204015192615</c:v>
                </c:pt>
                <c:pt idx="38">
                  <c:v>0.56946804123711348</c:v>
                </c:pt>
                <c:pt idx="39">
                  <c:v>0.58445404232230069</c:v>
                </c:pt>
                <c:pt idx="40">
                  <c:v>0.5994400434074878</c:v>
                </c:pt>
                <c:pt idx="41">
                  <c:v>0.61442604449267491</c:v>
                </c:pt>
                <c:pt idx="42">
                  <c:v>0.62941204557786212</c:v>
                </c:pt>
                <c:pt idx="43">
                  <c:v>0.64439804666304945</c:v>
                </c:pt>
                <c:pt idx="44">
                  <c:v>0.65938404774823656</c:v>
                </c:pt>
                <c:pt idx="45">
                  <c:v>0.67437004883342377</c:v>
                </c:pt>
                <c:pt idx="46">
                  <c:v>0.68935604991861099</c:v>
                </c:pt>
                <c:pt idx="47">
                  <c:v>0.70434205100379821</c:v>
                </c:pt>
                <c:pt idx="48">
                  <c:v>0.71932805208898531</c:v>
                </c:pt>
                <c:pt idx="49">
                  <c:v>0.73431405317417242</c:v>
                </c:pt>
                <c:pt idx="50">
                  <c:v>0.74930005425935986</c:v>
                </c:pt>
                <c:pt idx="51">
                  <c:v>0.76428605534454697</c:v>
                </c:pt>
                <c:pt idx="52">
                  <c:v>0.77927205642973407</c:v>
                </c:pt>
                <c:pt idx="53">
                  <c:v>0.7942580575149214</c:v>
                </c:pt>
                <c:pt idx="54">
                  <c:v>0.80924405860010862</c:v>
                </c:pt>
                <c:pt idx="55">
                  <c:v>0.82423005968529572</c:v>
                </c:pt>
                <c:pt idx="56">
                  <c:v>0.83921606077048305</c:v>
                </c:pt>
                <c:pt idx="57">
                  <c:v>0.85420206185567005</c:v>
                </c:pt>
                <c:pt idx="58">
                  <c:v>0.86918806294085715</c:v>
                </c:pt>
                <c:pt idx="59">
                  <c:v>0.88417406402604437</c:v>
                </c:pt>
                <c:pt idx="60">
                  <c:v>0.8991600651112317</c:v>
                </c:pt>
                <c:pt idx="61">
                  <c:v>0.91414606619641881</c:v>
                </c:pt>
                <c:pt idx="62">
                  <c:v>0.92913206728160602</c:v>
                </c:pt>
                <c:pt idx="63">
                  <c:v>0.94411806836679335</c:v>
                </c:pt>
                <c:pt idx="64">
                  <c:v>0.95910406945198046</c:v>
                </c:pt>
                <c:pt idx="65">
                  <c:v>0.97409007053716767</c:v>
                </c:pt>
                <c:pt idx="66">
                  <c:v>0.98907607162235478</c:v>
                </c:pt>
                <c:pt idx="67">
                  <c:v>1.004062072707542</c:v>
                </c:pt>
                <c:pt idx="68">
                  <c:v>1.0190480737927292</c:v>
                </c:pt>
                <c:pt idx="69">
                  <c:v>1.0340340748779164</c:v>
                </c:pt>
                <c:pt idx="70">
                  <c:v>1.0490200759631034</c:v>
                </c:pt>
                <c:pt idx="71">
                  <c:v>1.0640060770482906</c:v>
                </c:pt>
                <c:pt idx="72">
                  <c:v>1.0789920781334779</c:v>
                </c:pt>
                <c:pt idx="73">
                  <c:v>1.0939780792186651</c:v>
                </c:pt>
                <c:pt idx="74">
                  <c:v>1.1089640803038523</c:v>
                </c:pt>
                <c:pt idx="75">
                  <c:v>1.1239500813890397</c:v>
                </c:pt>
                <c:pt idx="76">
                  <c:v>1.138936082474227</c:v>
                </c:pt>
                <c:pt idx="77">
                  <c:v>1.1539220835594139</c:v>
                </c:pt>
                <c:pt idx="78">
                  <c:v>1.1689080846446014</c:v>
                </c:pt>
                <c:pt idx="79">
                  <c:v>1.1838940857297886</c:v>
                </c:pt>
                <c:pt idx="80">
                  <c:v>1.1988800868149756</c:v>
                </c:pt>
                <c:pt idx="81">
                  <c:v>1.213866087900163</c:v>
                </c:pt>
                <c:pt idx="82">
                  <c:v>1.2288520889853498</c:v>
                </c:pt>
                <c:pt idx="83">
                  <c:v>1.243838090070537</c:v>
                </c:pt>
                <c:pt idx="84">
                  <c:v>1.2588240911557242</c:v>
                </c:pt>
                <c:pt idx="85">
                  <c:v>1.2738100922409115</c:v>
                </c:pt>
                <c:pt idx="86">
                  <c:v>1.2887960933260989</c:v>
                </c:pt>
                <c:pt idx="87">
                  <c:v>1.3037820944112859</c:v>
                </c:pt>
                <c:pt idx="88">
                  <c:v>1.3187680954964731</c:v>
                </c:pt>
                <c:pt idx="89">
                  <c:v>1.3337540965816603</c:v>
                </c:pt>
                <c:pt idx="90">
                  <c:v>1.3487400976668475</c:v>
                </c:pt>
                <c:pt idx="91">
                  <c:v>1.3637260987520348</c:v>
                </c:pt>
                <c:pt idx="92">
                  <c:v>1.378712099837222</c:v>
                </c:pt>
                <c:pt idx="93">
                  <c:v>1.3936981009224092</c:v>
                </c:pt>
                <c:pt idx="94">
                  <c:v>1.4086841020075964</c:v>
                </c:pt>
                <c:pt idx="95">
                  <c:v>1.4236701030927834</c:v>
                </c:pt>
                <c:pt idx="96">
                  <c:v>1.4386561041779706</c:v>
                </c:pt>
                <c:pt idx="97">
                  <c:v>1.45</c:v>
                </c:pt>
                <c:pt idx="98">
                  <c:v>1.45</c:v>
                </c:pt>
                <c:pt idx="99">
                  <c:v>1.45</c:v>
                </c:pt>
                <c:pt idx="100">
                  <c:v>1.45</c:v>
                </c:pt>
              </c:numCache>
            </c:numRef>
          </c:val>
          <c:smooth val="0"/>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1.1000000000000001</c:v>
                </c:pt>
                <c:pt idx="2">
                  <c:v>2.2000000000000002</c:v>
                </c:pt>
                <c:pt idx="3">
                  <c:v>3.3</c:v>
                </c:pt>
                <c:pt idx="4">
                  <c:v>4.4000000000000004</c:v>
                </c:pt>
                <c:pt idx="5">
                  <c:v>5.5000000000000009</c:v>
                </c:pt>
                <c:pt idx="6">
                  <c:v>6.6</c:v>
                </c:pt>
                <c:pt idx="7">
                  <c:v>7.7000000000000011</c:v>
                </c:pt>
                <c:pt idx="8">
                  <c:v>8.8000000000000007</c:v>
                </c:pt>
                <c:pt idx="9">
                  <c:v>9.8999999999999986</c:v>
                </c:pt>
                <c:pt idx="10">
                  <c:v>11.000000000000002</c:v>
                </c:pt>
                <c:pt idx="11">
                  <c:v>12.1</c:v>
                </c:pt>
                <c:pt idx="12">
                  <c:v>13.2</c:v>
                </c:pt>
                <c:pt idx="13">
                  <c:v>14.3</c:v>
                </c:pt>
                <c:pt idx="14">
                  <c:v>15.400000000000002</c:v>
                </c:pt>
                <c:pt idx="15">
                  <c:v>16.5</c:v>
                </c:pt>
                <c:pt idx="16">
                  <c:v>17.600000000000001</c:v>
                </c:pt>
                <c:pt idx="17">
                  <c:v>18.700000000000003</c:v>
                </c:pt>
                <c:pt idx="18">
                  <c:v>19.799999999999997</c:v>
                </c:pt>
                <c:pt idx="19">
                  <c:v>20.900000000000002</c:v>
                </c:pt>
                <c:pt idx="20">
                  <c:v>22.000000000000004</c:v>
                </c:pt>
                <c:pt idx="21">
                  <c:v>23.099999999999998</c:v>
                </c:pt>
                <c:pt idx="22">
                  <c:v>24.2</c:v>
                </c:pt>
                <c:pt idx="23">
                  <c:v>25.3</c:v>
                </c:pt>
                <c:pt idx="24">
                  <c:v>26.4</c:v>
                </c:pt>
                <c:pt idx="25">
                  <c:v>27.5</c:v>
                </c:pt>
                <c:pt idx="26">
                  <c:v>28.6</c:v>
                </c:pt>
                <c:pt idx="27">
                  <c:v>29.7</c:v>
                </c:pt>
                <c:pt idx="28">
                  <c:v>30.800000000000004</c:v>
                </c:pt>
                <c:pt idx="29">
                  <c:v>31.9</c:v>
                </c:pt>
                <c:pt idx="30">
                  <c:v>33</c:v>
                </c:pt>
                <c:pt idx="31">
                  <c:v>34.1</c:v>
                </c:pt>
                <c:pt idx="32">
                  <c:v>35.200000000000003</c:v>
                </c:pt>
                <c:pt idx="33">
                  <c:v>36.299999999999997</c:v>
                </c:pt>
                <c:pt idx="34">
                  <c:v>37.400000000000006</c:v>
                </c:pt>
                <c:pt idx="35">
                  <c:v>38.5</c:v>
                </c:pt>
                <c:pt idx="36">
                  <c:v>39.599999999999994</c:v>
                </c:pt>
                <c:pt idx="37">
                  <c:v>40.700000000000003</c:v>
                </c:pt>
                <c:pt idx="38">
                  <c:v>41.800000000000004</c:v>
                </c:pt>
                <c:pt idx="39">
                  <c:v>42.9</c:v>
                </c:pt>
                <c:pt idx="40">
                  <c:v>44.000000000000007</c:v>
                </c:pt>
                <c:pt idx="41">
                  <c:v>45.099999999999994</c:v>
                </c:pt>
                <c:pt idx="42">
                  <c:v>46.199999999999996</c:v>
                </c:pt>
                <c:pt idx="43">
                  <c:v>47.300000000000004</c:v>
                </c:pt>
                <c:pt idx="44">
                  <c:v>48.4</c:v>
                </c:pt>
                <c:pt idx="45">
                  <c:v>49.5</c:v>
                </c:pt>
                <c:pt idx="46">
                  <c:v>50.6</c:v>
                </c:pt>
                <c:pt idx="47">
                  <c:v>51.699999999999996</c:v>
                </c:pt>
                <c:pt idx="48">
                  <c:v>52.8</c:v>
                </c:pt>
                <c:pt idx="49">
                  <c:v>53.9</c:v>
                </c:pt>
                <c:pt idx="50">
                  <c:v>55</c:v>
                </c:pt>
                <c:pt idx="51">
                  <c:v>56.1</c:v>
                </c:pt>
                <c:pt idx="52">
                  <c:v>57.2</c:v>
                </c:pt>
                <c:pt idx="53">
                  <c:v>58.300000000000004</c:v>
                </c:pt>
                <c:pt idx="54">
                  <c:v>59.4</c:v>
                </c:pt>
                <c:pt idx="55">
                  <c:v>60.500000000000007</c:v>
                </c:pt>
                <c:pt idx="56">
                  <c:v>61.600000000000009</c:v>
                </c:pt>
                <c:pt idx="57">
                  <c:v>62.699999999999989</c:v>
                </c:pt>
                <c:pt idx="58">
                  <c:v>63.8</c:v>
                </c:pt>
                <c:pt idx="59">
                  <c:v>64.900000000000006</c:v>
                </c:pt>
                <c:pt idx="60">
                  <c:v>66</c:v>
                </c:pt>
                <c:pt idx="61">
                  <c:v>67.099999999999994</c:v>
                </c:pt>
                <c:pt idx="62">
                  <c:v>68.2</c:v>
                </c:pt>
                <c:pt idx="63">
                  <c:v>69.3</c:v>
                </c:pt>
                <c:pt idx="64">
                  <c:v>70.400000000000006</c:v>
                </c:pt>
                <c:pt idx="65">
                  <c:v>71.500000000000014</c:v>
                </c:pt>
                <c:pt idx="66">
                  <c:v>72.599999999999994</c:v>
                </c:pt>
                <c:pt idx="67">
                  <c:v>73.7</c:v>
                </c:pt>
                <c:pt idx="68">
                  <c:v>74.800000000000011</c:v>
                </c:pt>
                <c:pt idx="69">
                  <c:v>75.899999999999991</c:v>
                </c:pt>
                <c:pt idx="70">
                  <c:v>77</c:v>
                </c:pt>
                <c:pt idx="71">
                  <c:v>78.100000000000009</c:v>
                </c:pt>
                <c:pt idx="72">
                  <c:v>79.199999999999989</c:v>
                </c:pt>
                <c:pt idx="73">
                  <c:v>80.3</c:v>
                </c:pt>
                <c:pt idx="74">
                  <c:v>81.400000000000006</c:v>
                </c:pt>
                <c:pt idx="75">
                  <c:v>82.5</c:v>
                </c:pt>
                <c:pt idx="76">
                  <c:v>83.600000000000009</c:v>
                </c:pt>
                <c:pt idx="77">
                  <c:v>84.7</c:v>
                </c:pt>
                <c:pt idx="78">
                  <c:v>85.8</c:v>
                </c:pt>
                <c:pt idx="79">
                  <c:v>86.9</c:v>
                </c:pt>
                <c:pt idx="80">
                  <c:v>88.000000000000014</c:v>
                </c:pt>
                <c:pt idx="81">
                  <c:v>89.100000000000009</c:v>
                </c:pt>
                <c:pt idx="82">
                  <c:v>90.199999999999989</c:v>
                </c:pt>
                <c:pt idx="83">
                  <c:v>91.3</c:v>
                </c:pt>
                <c:pt idx="84">
                  <c:v>92.399999999999991</c:v>
                </c:pt>
                <c:pt idx="85">
                  <c:v>93.5</c:v>
                </c:pt>
                <c:pt idx="86">
                  <c:v>94.600000000000009</c:v>
                </c:pt>
                <c:pt idx="87">
                  <c:v>95.699999999999989</c:v>
                </c:pt>
                <c:pt idx="88">
                  <c:v>96.8</c:v>
                </c:pt>
                <c:pt idx="89">
                  <c:v>97.9</c:v>
                </c:pt>
                <c:pt idx="90">
                  <c:v>99</c:v>
                </c:pt>
                <c:pt idx="91">
                  <c:v>100.10000000000001</c:v>
                </c:pt>
                <c:pt idx="92">
                  <c:v>101.2</c:v>
                </c:pt>
                <c:pt idx="93">
                  <c:v>102.3</c:v>
                </c:pt>
                <c:pt idx="94">
                  <c:v>103.39999999999999</c:v>
                </c:pt>
                <c:pt idx="95">
                  <c:v>104.5</c:v>
                </c:pt>
                <c:pt idx="96">
                  <c:v>105.6</c:v>
                </c:pt>
                <c:pt idx="97">
                  <c:v>106.7</c:v>
                </c:pt>
                <c:pt idx="98">
                  <c:v>107.8</c:v>
                </c:pt>
                <c:pt idx="99">
                  <c:v>108.89999999999999</c:v>
                </c:pt>
                <c:pt idx="100">
                  <c:v>110</c:v>
                </c:pt>
              </c:numCache>
            </c:numRef>
          </c:cat>
          <c:val>
            <c:numRef>
              <c:f>'Calculations - Dual'!$AI$5:$AI$105</c:f>
              <c:numCache>
                <c:formatCode>0.000</c:formatCode>
                <c:ptCount val="101"/>
                <c:pt idx="0">
                  <c:v>0.28999999999999998</c:v>
                </c:pt>
                <c:pt idx="1">
                  <c:v>0.28999999999999998</c:v>
                </c:pt>
                <c:pt idx="2">
                  <c:v>0.28999999999999998</c:v>
                </c:pt>
                <c:pt idx="3">
                  <c:v>0.28999999999999998</c:v>
                </c:pt>
                <c:pt idx="4">
                  <c:v>0.28999999999999998</c:v>
                </c:pt>
                <c:pt idx="5">
                  <c:v>0.28999999999999998</c:v>
                </c:pt>
                <c:pt idx="6">
                  <c:v>0.28999999999999998</c:v>
                </c:pt>
                <c:pt idx="7">
                  <c:v>0.28999999999999998</c:v>
                </c:pt>
                <c:pt idx="8">
                  <c:v>0.28999999999999998</c:v>
                </c:pt>
                <c:pt idx="9">
                  <c:v>0.28999999999999998</c:v>
                </c:pt>
                <c:pt idx="10">
                  <c:v>0.28999999999999998</c:v>
                </c:pt>
                <c:pt idx="11">
                  <c:v>0.28999999999999998</c:v>
                </c:pt>
                <c:pt idx="12">
                  <c:v>0.28999999999999998</c:v>
                </c:pt>
                <c:pt idx="13">
                  <c:v>0.28999999999999998</c:v>
                </c:pt>
                <c:pt idx="14">
                  <c:v>0.29289457837685084</c:v>
                </c:pt>
                <c:pt idx="15">
                  <c:v>0.30317469158394683</c:v>
                </c:pt>
                <c:pt idx="16">
                  <c:v>0.3131174750656523</c:v>
                </c:pt>
                <c:pt idx="17">
                  <c:v>0.3227541057305971</c:v>
                </c:pt>
                <c:pt idx="18">
                  <c:v>0.33211123489039862</c:v>
                </c:pt>
                <c:pt idx="19">
                  <c:v>0.34121185781694874</c:v>
                </c:pt>
                <c:pt idx="20">
                  <c:v>0.35007597959494696</c:v>
                </c:pt>
                <c:pt idx="21">
                  <c:v>0.35872113272544981</c:v>
                </c:pt>
                <c:pt idx="22">
                  <c:v>0.36716278493101379</c:v>
                </c:pt>
                <c:pt idx="23">
                  <c:v>0.37541466435498488</c:v>
                </c:pt>
                <c:pt idx="24">
                  <c:v>0.38348902172974136</c:v>
                </c:pt>
                <c:pt idx="25">
                  <c:v>0.39139684383206536</c:v>
                </c:pt>
                <c:pt idx="26">
                  <c:v>0.39914802885166578</c:v>
                </c:pt>
                <c:pt idx="27">
                  <c:v>0.40675153166354316</c:v>
                </c:pt>
                <c:pt idx="28">
                  <c:v>0.41421548508609191</c:v>
                </c:pt>
                <c:pt idx="29">
                  <c:v>0.42154730180559147</c:v>
                </c:pt>
                <c:pt idx="30">
                  <c:v>0.42875376060629783</c:v>
                </c:pt>
                <c:pt idx="31">
                  <c:v>0.43584107976246417</c:v>
                </c:pt>
                <c:pt idx="32">
                  <c:v>0.44281497985386487</c:v>
                </c:pt>
                <c:pt idx="33">
                  <c:v>0.44968073781011214</c:v>
                </c:pt>
                <c:pt idx="34">
                  <c:v>0.4564432336358103</c:v>
                </c:pt>
                <c:pt idx="35">
                  <c:v>0.46310699099277586</c:v>
                </c:pt>
                <c:pt idx="36">
                  <c:v>0.46967621259847836</c:v>
                </c:pt>
                <c:pt idx="37">
                  <c:v>0.47615481122773418</c:v>
                </c:pt>
                <c:pt idx="38">
                  <c:v>0.48254643696724903</c:v>
                </c:pt>
                <c:pt idx="39">
                  <c:v>0.4888545012621397</c:v>
                </c:pt>
                <c:pt idx="40">
                  <c:v>0.49508219820422084</c:v>
                </c:pt>
                <c:pt idx="41">
                  <c:v>0.50123252343916336</c:v>
                </c:pt>
                <c:pt idx="42">
                  <c:v>0.50730829101017028</c:v>
                </c:pt>
                <c:pt idx="43">
                  <c:v>0.51331214840691985</c:v>
                </c:pt>
                <c:pt idx="44">
                  <c:v>0.51924659004811557</c:v>
                </c:pt>
                <c:pt idx="45">
                  <c:v>0.52511396939242039</c:v>
                </c:pt>
                <c:pt idx="46">
                  <c:v>0.53091650984456296</c:v>
                </c:pt>
                <c:pt idx="47">
                  <c:v>0.53665631459994956</c:v>
                </c:pt>
                <c:pt idx="48">
                  <c:v>0.54233537555139077</c:v>
                </c:pt>
                <c:pt idx="49">
                  <c:v>0.54795558136489142</c:v>
                </c:pt>
                <c:pt idx="50">
                  <c:v>0.55351872481733111</c:v>
                </c:pt>
                <c:pt idx="51">
                  <c:v>0.55902650947685151</c:v>
                </c:pt>
                <c:pt idx="52">
                  <c:v>0.56448055579651324</c:v>
                </c:pt>
                <c:pt idx="53">
                  <c:v>0.56988240668300028</c:v>
                </c:pt>
                <c:pt idx="54">
                  <c:v>0.57523353259461207</c:v>
                </c:pt>
                <c:pt idx="55">
                  <c:v>0.58053533621627607</c:v>
                </c:pt>
                <c:pt idx="56">
                  <c:v>0.58578915675370169</c:v>
                </c:pt>
                <c:pt idx="57">
                  <c:v>0.59099627388392295</c:v>
                </c:pt>
                <c:pt idx="58">
                  <c:v>0.59615791139525176</c:v>
                </c:pt>
                <c:pt idx="59">
                  <c:v>0.60127524054597248</c:v>
                </c:pt>
                <c:pt idx="60">
                  <c:v>0.60634938316789366</c:v>
                </c:pt>
                <c:pt idx="61">
                  <c:v>0.61138141453805517</c:v>
                </c:pt>
                <c:pt idx="62">
                  <c:v>0.6163723660394107</c:v>
                </c:pt>
                <c:pt idx="63">
                  <c:v>0.62132322762913783</c:v>
                </c:pt>
                <c:pt idx="64">
                  <c:v>0.62623495013130459</c:v>
                </c:pt>
                <c:pt idx="65">
                  <c:v>0.63110844736893323</c:v>
                </c:pt>
                <c:pt idx="66">
                  <c:v>0.6359445981490004</c:v>
                </c:pt>
                <c:pt idx="67">
                  <c:v>0.6407442481125849</c:v>
                </c:pt>
                <c:pt idx="68">
                  <c:v>0.64550821146119419</c:v>
                </c:pt>
                <c:pt idx="69">
                  <c:v>0.65023727256925057</c:v>
                </c:pt>
                <c:pt idx="70">
                  <c:v>0.65493218749177839</c:v>
                </c:pt>
                <c:pt idx="71">
                  <c:v>0.65959368537549989</c:v>
                </c:pt>
                <c:pt idx="72">
                  <c:v>0.66422246978079724</c:v>
                </c:pt>
                <c:pt idx="73">
                  <c:v>0.66881921992132543</c:v>
                </c:pt>
                <c:pt idx="74">
                  <c:v>0.97810092240911561</c:v>
                </c:pt>
                <c:pt idx="75">
                  <c:v>0.9913185024416713</c:v>
                </c:pt>
                <c:pt idx="76">
                  <c:v>1.0045360824742271</c:v>
                </c:pt>
                <c:pt idx="77">
                  <c:v>1.0177536625067827</c:v>
                </c:pt>
                <c:pt idx="78">
                  <c:v>1.0309712425393383</c:v>
                </c:pt>
                <c:pt idx="79">
                  <c:v>1.044188822571894</c:v>
                </c:pt>
                <c:pt idx="80">
                  <c:v>1.0574064026044494</c:v>
                </c:pt>
                <c:pt idx="81">
                  <c:v>1.0706239826370052</c:v>
                </c:pt>
                <c:pt idx="82">
                  <c:v>1.0838415626695606</c:v>
                </c:pt>
                <c:pt idx="83">
                  <c:v>1.0970591427021161</c:v>
                </c:pt>
                <c:pt idx="84">
                  <c:v>1.1102767227346719</c:v>
                </c:pt>
                <c:pt idx="85">
                  <c:v>1.1234943027672275</c:v>
                </c:pt>
                <c:pt idx="86">
                  <c:v>1.1367118827997833</c:v>
                </c:pt>
                <c:pt idx="87">
                  <c:v>1.1499294628323387</c:v>
                </c:pt>
                <c:pt idx="88">
                  <c:v>1.1631470428648942</c:v>
                </c:pt>
                <c:pt idx="89">
                  <c:v>1.1763646228974498</c:v>
                </c:pt>
                <c:pt idx="90">
                  <c:v>1.1895822029300056</c:v>
                </c:pt>
                <c:pt idx="91">
                  <c:v>1.2027997829625612</c:v>
                </c:pt>
                <c:pt idx="92">
                  <c:v>1.2160173629951168</c:v>
                </c:pt>
                <c:pt idx="93">
                  <c:v>1.2292349430276726</c:v>
                </c:pt>
                <c:pt idx="94">
                  <c:v>1.2424525230602281</c:v>
                </c:pt>
                <c:pt idx="95">
                  <c:v>1.2556701030927837</c:v>
                </c:pt>
                <c:pt idx="96">
                  <c:v>1.2688876831253393</c:v>
                </c:pt>
                <c:pt idx="97">
                  <c:v>1.2821052631578949</c:v>
                </c:pt>
                <c:pt idx="98">
                  <c:v>1.2953228431904504</c:v>
                </c:pt>
                <c:pt idx="99">
                  <c:v>1.3085404232230062</c:v>
                </c:pt>
                <c:pt idx="100">
                  <c:v>1.321758003255562</c:v>
                </c:pt>
              </c:numCache>
            </c:numRef>
          </c:val>
          <c:smooth val="0"/>
        </c:ser>
        <c:ser>
          <c:idx val="2"/>
          <c:order val="2"/>
          <c:tx>
            <c:v>VIN-max</c:v>
          </c:tx>
          <c:spPr>
            <a:ln>
              <a:solidFill>
                <a:srgbClr val="FF0000"/>
              </a:solidFill>
              <a:prstDash val="solid"/>
            </a:ln>
          </c:spPr>
          <c:marker>
            <c:symbol val="none"/>
          </c:marker>
          <c:val>
            <c:numRef>
              <c:f>'Calculations - Dual'!$AI$216:$AI$316</c:f>
              <c:numCache>
                <c:formatCode>0.000</c:formatCode>
                <c:ptCount val="101"/>
                <c:pt idx="0">
                  <c:v>0.28999999999999998</c:v>
                </c:pt>
                <c:pt idx="1">
                  <c:v>0.28999999999999998</c:v>
                </c:pt>
                <c:pt idx="2">
                  <c:v>0.28999999999999998</c:v>
                </c:pt>
                <c:pt idx="3">
                  <c:v>0.28999999999999998</c:v>
                </c:pt>
                <c:pt idx="4">
                  <c:v>0.28999999999999998</c:v>
                </c:pt>
                <c:pt idx="5">
                  <c:v>0.28999999999999998</c:v>
                </c:pt>
                <c:pt idx="6">
                  <c:v>0.28999999999999998</c:v>
                </c:pt>
                <c:pt idx="7">
                  <c:v>0.28999999999999998</c:v>
                </c:pt>
                <c:pt idx="8">
                  <c:v>0.28999999999999998</c:v>
                </c:pt>
                <c:pt idx="9">
                  <c:v>0.28999999999999998</c:v>
                </c:pt>
                <c:pt idx="10">
                  <c:v>0.28999999999999998</c:v>
                </c:pt>
                <c:pt idx="11">
                  <c:v>0.28999999999999998</c:v>
                </c:pt>
                <c:pt idx="12">
                  <c:v>0.28999999999999998</c:v>
                </c:pt>
                <c:pt idx="13">
                  <c:v>0.28999999999999998</c:v>
                </c:pt>
                <c:pt idx="14">
                  <c:v>0.29289457837685084</c:v>
                </c:pt>
                <c:pt idx="15">
                  <c:v>0.30317469158394683</c:v>
                </c:pt>
                <c:pt idx="16">
                  <c:v>0.3131174750656523</c:v>
                </c:pt>
                <c:pt idx="17">
                  <c:v>0.3227541057305971</c:v>
                </c:pt>
                <c:pt idx="18">
                  <c:v>0.33211123489039862</c:v>
                </c:pt>
                <c:pt idx="19">
                  <c:v>0.34121185781694874</c:v>
                </c:pt>
                <c:pt idx="20">
                  <c:v>0.35007597959494696</c:v>
                </c:pt>
                <c:pt idx="21">
                  <c:v>0.35872113272544981</c:v>
                </c:pt>
                <c:pt idx="22">
                  <c:v>0.36716278493101379</c:v>
                </c:pt>
                <c:pt idx="23">
                  <c:v>0.37541466435498488</c:v>
                </c:pt>
                <c:pt idx="24">
                  <c:v>0.38348902172974136</c:v>
                </c:pt>
                <c:pt idx="25">
                  <c:v>0.39139684383206536</c:v>
                </c:pt>
                <c:pt idx="26">
                  <c:v>0.39914802885166578</c:v>
                </c:pt>
                <c:pt idx="27">
                  <c:v>0.40675153166354316</c:v>
                </c:pt>
                <c:pt idx="28">
                  <c:v>0.41421548508609191</c:v>
                </c:pt>
                <c:pt idx="29">
                  <c:v>0.42154730180559147</c:v>
                </c:pt>
                <c:pt idx="30">
                  <c:v>0.42875376060629783</c:v>
                </c:pt>
                <c:pt idx="31">
                  <c:v>0.43584107976246417</c:v>
                </c:pt>
                <c:pt idx="32">
                  <c:v>0.44281497985386487</c:v>
                </c:pt>
                <c:pt idx="33">
                  <c:v>0.44968073781011214</c:v>
                </c:pt>
                <c:pt idx="34">
                  <c:v>0.4564432336358103</c:v>
                </c:pt>
                <c:pt idx="35">
                  <c:v>0.46310699099277586</c:v>
                </c:pt>
                <c:pt idx="36">
                  <c:v>0.46967621259847836</c:v>
                </c:pt>
                <c:pt idx="37">
                  <c:v>0.47615481122773418</c:v>
                </c:pt>
                <c:pt idx="38">
                  <c:v>0.48254643696724903</c:v>
                </c:pt>
                <c:pt idx="39">
                  <c:v>0.4888545012621397</c:v>
                </c:pt>
                <c:pt idx="40">
                  <c:v>0.49508219820422084</c:v>
                </c:pt>
                <c:pt idx="41">
                  <c:v>0.50123252343916336</c:v>
                </c:pt>
                <c:pt idx="42">
                  <c:v>0.50730829101017028</c:v>
                </c:pt>
                <c:pt idx="43">
                  <c:v>0.51331214840691985</c:v>
                </c:pt>
                <c:pt idx="44">
                  <c:v>0.51924659004811557</c:v>
                </c:pt>
                <c:pt idx="45">
                  <c:v>0.52511396939242039</c:v>
                </c:pt>
                <c:pt idx="46">
                  <c:v>0.53091650984456296</c:v>
                </c:pt>
                <c:pt idx="47">
                  <c:v>0.53665631459994956</c:v>
                </c:pt>
                <c:pt idx="48">
                  <c:v>0.54233537555139077</c:v>
                </c:pt>
                <c:pt idx="49">
                  <c:v>0.54795558136489142</c:v>
                </c:pt>
                <c:pt idx="50">
                  <c:v>0.55351872481733111</c:v>
                </c:pt>
                <c:pt idx="51">
                  <c:v>0.55902650947685151</c:v>
                </c:pt>
                <c:pt idx="52">
                  <c:v>0.59535626695605004</c:v>
                </c:pt>
                <c:pt idx="53">
                  <c:v>0.60680542593597409</c:v>
                </c:pt>
                <c:pt idx="54">
                  <c:v>0.61825458491589813</c:v>
                </c:pt>
                <c:pt idx="55">
                  <c:v>0.62970374389582218</c:v>
                </c:pt>
                <c:pt idx="56">
                  <c:v>0.64115290287574622</c:v>
                </c:pt>
                <c:pt idx="57">
                  <c:v>0.65260206185567016</c:v>
                </c:pt>
                <c:pt idx="58">
                  <c:v>0.66405122083559409</c:v>
                </c:pt>
                <c:pt idx="59">
                  <c:v>0.67550037981551825</c:v>
                </c:pt>
                <c:pt idx="60">
                  <c:v>0.68694953879544229</c:v>
                </c:pt>
                <c:pt idx="61">
                  <c:v>0.69839869777536634</c:v>
                </c:pt>
                <c:pt idx="62">
                  <c:v>0.70984785675529039</c:v>
                </c:pt>
                <c:pt idx="63">
                  <c:v>0.72129701573521443</c:v>
                </c:pt>
                <c:pt idx="64">
                  <c:v>0.73274617471513848</c:v>
                </c:pt>
                <c:pt idx="65">
                  <c:v>0.74419533369506252</c:v>
                </c:pt>
                <c:pt idx="66">
                  <c:v>0.75564449267498657</c:v>
                </c:pt>
                <c:pt idx="67">
                  <c:v>0.76709365165491061</c:v>
                </c:pt>
                <c:pt idx="68">
                  <c:v>0.77854281063483466</c:v>
                </c:pt>
                <c:pt idx="69">
                  <c:v>0.78999196961475859</c:v>
                </c:pt>
                <c:pt idx="70">
                  <c:v>0.80144112859468264</c:v>
                </c:pt>
                <c:pt idx="71">
                  <c:v>0.81289028757460668</c:v>
                </c:pt>
                <c:pt idx="72">
                  <c:v>0.82433944655453073</c:v>
                </c:pt>
                <c:pt idx="73">
                  <c:v>0.83578860553445478</c:v>
                </c:pt>
                <c:pt idx="74">
                  <c:v>0.84723776451437871</c:v>
                </c:pt>
                <c:pt idx="75">
                  <c:v>0.85868692349430298</c:v>
                </c:pt>
                <c:pt idx="76">
                  <c:v>0.87013608247422702</c:v>
                </c:pt>
                <c:pt idx="77">
                  <c:v>0.88158524145415107</c:v>
                </c:pt>
                <c:pt idx="78">
                  <c:v>0.89303440043407512</c:v>
                </c:pt>
                <c:pt idx="79">
                  <c:v>0.90448355941399916</c:v>
                </c:pt>
                <c:pt idx="80">
                  <c:v>0.9159327183939231</c:v>
                </c:pt>
                <c:pt idx="81">
                  <c:v>0.92738187737384725</c:v>
                </c:pt>
                <c:pt idx="82">
                  <c:v>0.93883103635377108</c:v>
                </c:pt>
                <c:pt idx="83">
                  <c:v>0.95028019533369501</c:v>
                </c:pt>
                <c:pt idx="84">
                  <c:v>0.96172935431361928</c:v>
                </c:pt>
                <c:pt idx="85">
                  <c:v>0.97317851329354321</c:v>
                </c:pt>
                <c:pt idx="86">
                  <c:v>0.98462767227346737</c:v>
                </c:pt>
                <c:pt idx="87">
                  <c:v>0.99607683125339141</c:v>
                </c:pt>
                <c:pt idx="88">
                  <c:v>1.0075259902333153</c:v>
                </c:pt>
                <c:pt idx="89">
                  <c:v>1.0189751492132393</c:v>
                </c:pt>
                <c:pt idx="90">
                  <c:v>1.0304243081931637</c:v>
                </c:pt>
                <c:pt idx="91">
                  <c:v>1.0418734671730876</c:v>
                </c:pt>
                <c:pt idx="92">
                  <c:v>1.0533226261530115</c:v>
                </c:pt>
                <c:pt idx="93">
                  <c:v>1.0647717851329357</c:v>
                </c:pt>
                <c:pt idx="94">
                  <c:v>1.0762209441128596</c:v>
                </c:pt>
                <c:pt idx="95">
                  <c:v>1.0876701030927838</c:v>
                </c:pt>
                <c:pt idx="96">
                  <c:v>1.0991192620727077</c:v>
                </c:pt>
                <c:pt idx="97">
                  <c:v>1.1105684210526316</c:v>
                </c:pt>
                <c:pt idx="98">
                  <c:v>1.1220175800325556</c:v>
                </c:pt>
                <c:pt idx="99">
                  <c:v>1.13346673901248</c:v>
                </c:pt>
                <c:pt idx="100">
                  <c:v>1.1449158979924041</c:v>
                </c:pt>
              </c:numCache>
            </c:numRef>
          </c:val>
          <c:smooth val="0"/>
        </c:ser>
        <c:dLbls>
          <c:showLegendKey val="0"/>
          <c:showVal val="0"/>
          <c:showCatName val="0"/>
          <c:showSerName val="0"/>
          <c:showPercent val="0"/>
          <c:showBubbleSize val="0"/>
        </c:dLbls>
        <c:marker val="1"/>
        <c:smooth val="0"/>
        <c:axId val="201120768"/>
        <c:axId val="201122944"/>
      </c:lineChart>
      <c:catAx>
        <c:axId val="201120768"/>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201122944"/>
        <c:crosses val="autoZero"/>
        <c:auto val="1"/>
        <c:lblAlgn val="ctr"/>
        <c:lblOffset val="100"/>
        <c:tickLblSkip val="20"/>
        <c:tickMarkSkip val="10"/>
        <c:noMultiLvlLbl val="0"/>
      </c:catAx>
      <c:valAx>
        <c:axId val="201122944"/>
        <c:scaling>
          <c:orientation val="minMax"/>
          <c:max val="1.4"/>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201120768"/>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Dual'!$AJ$110:$AJ$210</c:f>
              <c:numCache>
                <c:formatCode>0.000</c:formatCode>
                <c:ptCount val="101"/>
                <c:pt idx="0">
                  <c:v>1.0057142857142858</c:v>
                </c:pt>
                <c:pt idx="1">
                  <c:v>1.0077126304262185</c:v>
                </c:pt>
                <c:pt idx="2">
                  <c:v>1.0154252608524372</c:v>
                </c:pt>
                <c:pt idx="3">
                  <c:v>1.0231378912786557</c:v>
                </c:pt>
                <c:pt idx="4">
                  <c:v>1.0308505217048745</c:v>
                </c:pt>
                <c:pt idx="5">
                  <c:v>1.038563152131093</c:v>
                </c:pt>
                <c:pt idx="6">
                  <c:v>1.0462757825573117</c:v>
                </c:pt>
                <c:pt idx="7">
                  <c:v>1.0539884129835302</c:v>
                </c:pt>
                <c:pt idx="8">
                  <c:v>1.0617010434097489</c:v>
                </c:pt>
                <c:pt idx="9">
                  <c:v>1.0694136738359674</c:v>
                </c:pt>
                <c:pt idx="10">
                  <c:v>1.0771263042621861</c:v>
                </c:pt>
                <c:pt idx="11">
                  <c:v>1.0848389346884046</c:v>
                </c:pt>
                <c:pt idx="12">
                  <c:v>1.0925515651146234</c:v>
                </c:pt>
                <c:pt idx="13">
                  <c:v>1.1002641955408419</c:v>
                </c:pt>
                <c:pt idx="14">
                  <c:v>1.1079768259670606</c:v>
                </c:pt>
                <c:pt idx="15">
                  <c:v>1.1156894563932791</c:v>
                </c:pt>
                <c:pt idx="16">
                  <c:v>1.1234020868194978</c:v>
                </c:pt>
                <c:pt idx="17">
                  <c:v>1.1311147172457163</c:v>
                </c:pt>
                <c:pt idx="18">
                  <c:v>1.1388273476719348</c:v>
                </c:pt>
                <c:pt idx="19">
                  <c:v>1.1465399780981536</c:v>
                </c:pt>
                <c:pt idx="20">
                  <c:v>1.1542526085243723</c:v>
                </c:pt>
                <c:pt idx="21">
                  <c:v>1.1619652389505908</c:v>
                </c:pt>
                <c:pt idx="22">
                  <c:v>1.1696778693768093</c:v>
                </c:pt>
                <c:pt idx="23">
                  <c:v>1.177390499803028</c:v>
                </c:pt>
                <c:pt idx="24">
                  <c:v>1.1851031302292467</c:v>
                </c:pt>
                <c:pt idx="25">
                  <c:v>1.1928157606554652</c:v>
                </c:pt>
                <c:pt idx="26">
                  <c:v>1.2808503917419747</c:v>
                </c:pt>
                <c:pt idx="27">
                  <c:v>1.286482616047069</c:v>
                </c:pt>
                <c:pt idx="28">
                  <c:v>1.2920114704341421</c:v>
                </c:pt>
                <c:pt idx="29">
                  <c:v>1.2974424457819196</c:v>
                </c:pt>
                <c:pt idx="30">
                  <c:v>1.3182074315226784</c:v>
                </c:pt>
                <c:pt idx="31">
                  <c:v>1.3293081730672616</c:v>
                </c:pt>
                <c:pt idx="32">
                  <c:v>1.3404089146118445</c:v>
                </c:pt>
                <c:pt idx="33">
                  <c:v>1.3515096561564277</c:v>
                </c:pt>
                <c:pt idx="34">
                  <c:v>1.3626103977010109</c:v>
                </c:pt>
                <c:pt idx="35">
                  <c:v>1.3737111392455938</c:v>
                </c:pt>
                <c:pt idx="36">
                  <c:v>1.384811880790177</c:v>
                </c:pt>
                <c:pt idx="37">
                  <c:v>1.39591262233476</c:v>
                </c:pt>
                <c:pt idx="38">
                  <c:v>1.4070133638793432</c:v>
                </c:pt>
                <c:pt idx="39">
                  <c:v>1.4181141054239264</c:v>
                </c:pt>
                <c:pt idx="40">
                  <c:v>1.4292148469685095</c:v>
                </c:pt>
                <c:pt idx="41">
                  <c:v>1.4403155885130925</c:v>
                </c:pt>
                <c:pt idx="42">
                  <c:v>1.4514163300576757</c:v>
                </c:pt>
                <c:pt idx="43">
                  <c:v>1.4625170716022589</c:v>
                </c:pt>
                <c:pt idx="44">
                  <c:v>1.4736178131468418</c:v>
                </c:pt>
                <c:pt idx="45">
                  <c:v>1.484718554691425</c:v>
                </c:pt>
                <c:pt idx="46">
                  <c:v>1.4958192962360082</c:v>
                </c:pt>
                <c:pt idx="47">
                  <c:v>1.5069200377805911</c:v>
                </c:pt>
                <c:pt idx="48">
                  <c:v>1.5180207793251743</c:v>
                </c:pt>
                <c:pt idx="49">
                  <c:v>1.5291215208697573</c:v>
                </c:pt>
                <c:pt idx="50">
                  <c:v>1.5402222624143407</c:v>
                </c:pt>
                <c:pt idx="51">
                  <c:v>1.5513230039589236</c:v>
                </c:pt>
                <c:pt idx="52">
                  <c:v>1.5624237455035068</c:v>
                </c:pt>
                <c:pt idx="53">
                  <c:v>1.5735244870480898</c:v>
                </c:pt>
                <c:pt idx="54">
                  <c:v>1.584625228592673</c:v>
                </c:pt>
                <c:pt idx="55">
                  <c:v>1.5957259701372561</c:v>
                </c:pt>
                <c:pt idx="56">
                  <c:v>1.6068267116818393</c:v>
                </c:pt>
                <c:pt idx="57">
                  <c:v>1.6179274532264223</c:v>
                </c:pt>
                <c:pt idx="58">
                  <c:v>1.6290281947710052</c:v>
                </c:pt>
                <c:pt idx="59">
                  <c:v>1.6401289363155884</c:v>
                </c:pt>
                <c:pt idx="60">
                  <c:v>1.6512296778601716</c:v>
                </c:pt>
                <c:pt idx="61">
                  <c:v>1.6623304194047548</c:v>
                </c:pt>
                <c:pt idx="62">
                  <c:v>1.6734311609493377</c:v>
                </c:pt>
                <c:pt idx="63">
                  <c:v>1.6845319024939209</c:v>
                </c:pt>
                <c:pt idx="64">
                  <c:v>1.6956326440385041</c:v>
                </c:pt>
                <c:pt idx="65">
                  <c:v>1.7067333855830871</c:v>
                </c:pt>
                <c:pt idx="66">
                  <c:v>1.71783412712767</c:v>
                </c:pt>
                <c:pt idx="67">
                  <c:v>1.7289348686722532</c:v>
                </c:pt>
                <c:pt idx="68">
                  <c:v>1.7400356102168364</c:v>
                </c:pt>
                <c:pt idx="69">
                  <c:v>1.7511363517614194</c:v>
                </c:pt>
                <c:pt idx="70">
                  <c:v>1.7622370933060023</c:v>
                </c:pt>
                <c:pt idx="71">
                  <c:v>1.7733378348505857</c:v>
                </c:pt>
                <c:pt idx="72">
                  <c:v>1.7844385763951687</c:v>
                </c:pt>
                <c:pt idx="73">
                  <c:v>1.7955393179397516</c:v>
                </c:pt>
                <c:pt idx="74">
                  <c:v>1.806640059484335</c:v>
                </c:pt>
                <c:pt idx="75">
                  <c:v>1.8177408010289182</c:v>
                </c:pt>
                <c:pt idx="76">
                  <c:v>1.8288415425735014</c:v>
                </c:pt>
                <c:pt idx="77">
                  <c:v>1.8399422841180844</c:v>
                </c:pt>
                <c:pt idx="78">
                  <c:v>1.8510430256626675</c:v>
                </c:pt>
                <c:pt idx="79">
                  <c:v>1.8621437672072507</c:v>
                </c:pt>
                <c:pt idx="80">
                  <c:v>1.8732445087518337</c:v>
                </c:pt>
                <c:pt idx="81">
                  <c:v>1.8843452502964171</c:v>
                </c:pt>
                <c:pt idx="82">
                  <c:v>1.8954459918409998</c:v>
                </c:pt>
                <c:pt idx="83">
                  <c:v>1.906546733385583</c:v>
                </c:pt>
                <c:pt idx="84">
                  <c:v>1.917647474930166</c:v>
                </c:pt>
                <c:pt idx="85">
                  <c:v>1.9287482164747491</c:v>
                </c:pt>
                <c:pt idx="86">
                  <c:v>1.9398489580193323</c:v>
                </c:pt>
                <c:pt idx="87">
                  <c:v>1.9509496995639153</c:v>
                </c:pt>
                <c:pt idx="88">
                  <c:v>1.9620504411084985</c:v>
                </c:pt>
                <c:pt idx="89">
                  <c:v>1.9731511826530816</c:v>
                </c:pt>
                <c:pt idx="90">
                  <c:v>1.9842519241976648</c:v>
                </c:pt>
                <c:pt idx="91">
                  <c:v>1.995352665742248</c:v>
                </c:pt>
                <c:pt idx="92">
                  <c:v>2.006453407286831</c:v>
                </c:pt>
                <c:pt idx="93">
                  <c:v>2.0175541488314144</c:v>
                </c:pt>
                <c:pt idx="94">
                  <c:v>2.0286548903759973</c:v>
                </c:pt>
                <c:pt idx="95">
                  <c:v>2.0397556319205803</c:v>
                </c:pt>
                <c:pt idx="96">
                  <c:v>2.0508563734651633</c:v>
                </c:pt>
                <c:pt idx="97">
                  <c:v>2.0592592592592593</c:v>
                </c:pt>
                <c:pt idx="98">
                  <c:v>2.0592592592592593</c:v>
                </c:pt>
                <c:pt idx="99">
                  <c:v>2.0592592592592593</c:v>
                </c:pt>
                <c:pt idx="100">
                  <c:v>2.0592592592592593</c:v>
                </c:pt>
              </c:numCache>
            </c:numRef>
          </c:val>
          <c:smooth val="0"/>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1.1000000000000001</c:v>
                </c:pt>
                <c:pt idx="2">
                  <c:v>2.2000000000000002</c:v>
                </c:pt>
                <c:pt idx="3">
                  <c:v>3.3</c:v>
                </c:pt>
                <c:pt idx="4">
                  <c:v>4.4000000000000004</c:v>
                </c:pt>
                <c:pt idx="5">
                  <c:v>5.5000000000000009</c:v>
                </c:pt>
                <c:pt idx="6">
                  <c:v>6.6</c:v>
                </c:pt>
                <c:pt idx="7">
                  <c:v>7.7000000000000011</c:v>
                </c:pt>
                <c:pt idx="8">
                  <c:v>8.8000000000000007</c:v>
                </c:pt>
                <c:pt idx="9">
                  <c:v>9.8999999999999986</c:v>
                </c:pt>
                <c:pt idx="10">
                  <c:v>11.000000000000002</c:v>
                </c:pt>
                <c:pt idx="11">
                  <c:v>12.1</c:v>
                </c:pt>
                <c:pt idx="12">
                  <c:v>13.2</c:v>
                </c:pt>
                <c:pt idx="13">
                  <c:v>14.3</c:v>
                </c:pt>
                <c:pt idx="14">
                  <c:v>15.400000000000002</c:v>
                </c:pt>
                <c:pt idx="15">
                  <c:v>16.5</c:v>
                </c:pt>
                <c:pt idx="16">
                  <c:v>17.600000000000001</c:v>
                </c:pt>
                <c:pt idx="17">
                  <c:v>18.700000000000003</c:v>
                </c:pt>
                <c:pt idx="18">
                  <c:v>19.799999999999997</c:v>
                </c:pt>
                <c:pt idx="19">
                  <c:v>20.900000000000002</c:v>
                </c:pt>
                <c:pt idx="20">
                  <c:v>22.000000000000004</c:v>
                </c:pt>
                <c:pt idx="21">
                  <c:v>23.099999999999998</c:v>
                </c:pt>
                <c:pt idx="22">
                  <c:v>24.2</c:v>
                </c:pt>
                <c:pt idx="23">
                  <c:v>25.3</c:v>
                </c:pt>
                <c:pt idx="24">
                  <c:v>26.4</c:v>
                </c:pt>
                <c:pt idx="25">
                  <c:v>27.5</c:v>
                </c:pt>
                <c:pt idx="26">
                  <c:v>28.6</c:v>
                </c:pt>
                <c:pt idx="27">
                  <c:v>29.7</c:v>
                </c:pt>
                <c:pt idx="28">
                  <c:v>30.800000000000004</c:v>
                </c:pt>
                <c:pt idx="29">
                  <c:v>31.9</c:v>
                </c:pt>
                <c:pt idx="30">
                  <c:v>33</c:v>
                </c:pt>
                <c:pt idx="31">
                  <c:v>34.1</c:v>
                </c:pt>
                <c:pt idx="32">
                  <c:v>35.200000000000003</c:v>
                </c:pt>
                <c:pt idx="33">
                  <c:v>36.299999999999997</c:v>
                </c:pt>
                <c:pt idx="34">
                  <c:v>37.400000000000006</c:v>
                </c:pt>
                <c:pt idx="35">
                  <c:v>38.5</c:v>
                </c:pt>
                <c:pt idx="36">
                  <c:v>39.599999999999994</c:v>
                </c:pt>
                <c:pt idx="37">
                  <c:v>40.700000000000003</c:v>
                </c:pt>
                <c:pt idx="38">
                  <c:v>41.800000000000004</c:v>
                </c:pt>
                <c:pt idx="39">
                  <c:v>42.9</c:v>
                </c:pt>
                <c:pt idx="40">
                  <c:v>44.000000000000007</c:v>
                </c:pt>
                <c:pt idx="41">
                  <c:v>45.099999999999994</c:v>
                </c:pt>
                <c:pt idx="42">
                  <c:v>46.199999999999996</c:v>
                </c:pt>
                <c:pt idx="43">
                  <c:v>47.300000000000004</c:v>
                </c:pt>
                <c:pt idx="44">
                  <c:v>48.4</c:v>
                </c:pt>
                <c:pt idx="45">
                  <c:v>49.5</c:v>
                </c:pt>
                <c:pt idx="46">
                  <c:v>50.6</c:v>
                </c:pt>
                <c:pt idx="47">
                  <c:v>51.699999999999996</c:v>
                </c:pt>
                <c:pt idx="48">
                  <c:v>52.8</c:v>
                </c:pt>
                <c:pt idx="49">
                  <c:v>53.9</c:v>
                </c:pt>
                <c:pt idx="50">
                  <c:v>55</c:v>
                </c:pt>
                <c:pt idx="51">
                  <c:v>56.1</c:v>
                </c:pt>
                <c:pt idx="52">
                  <c:v>57.2</c:v>
                </c:pt>
                <c:pt idx="53">
                  <c:v>58.300000000000004</c:v>
                </c:pt>
                <c:pt idx="54">
                  <c:v>59.4</c:v>
                </c:pt>
                <c:pt idx="55">
                  <c:v>60.500000000000007</c:v>
                </c:pt>
                <c:pt idx="56">
                  <c:v>61.600000000000009</c:v>
                </c:pt>
                <c:pt idx="57">
                  <c:v>62.699999999999989</c:v>
                </c:pt>
                <c:pt idx="58">
                  <c:v>63.8</c:v>
                </c:pt>
                <c:pt idx="59">
                  <c:v>64.900000000000006</c:v>
                </c:pt>
                <c:pt idx="60">
                  <c:v>66</c:v>
                </c:pt>
                <c:pt idx="61">
                  <c:v>67.099999999999994</c:v>
                </c:pt>
                <c:pt idx="62">
                  <c:v>68.2</c:v>
                </c:pt>
                <c:pt idx="63">
                  <c:v>69.3</c:v>
                </c:pt>
                <c:pt idx="64">
                  <c:v>70.400000000000006</c:v>
                </c:pt>
                <c:pt idx="65">
                  <c:v>71.500000000000014</c:v>
                </c:pt>
                <c:pt idx="66">
                  <c:v>72.599999999999994</c:v>
                </c:pt>
                <c:pt idx="67">
                  <c:v>73.7</c:v>
                </c:pt>
                <c:pt idx="68">
                  <c:v>74.800000000000011</c:v>
                </c:pt>
                <c:pt idx="69">
                  <c:v>75.899999999999991</c:v>
                </c:pt>
                <c:pt idx="70">
                  <c:v>77</c:v>
                </c:pt>
                <c:pt idx="71">
                  <c:v>78.100000000000009</c:v>
                </c:pt>
                <c:pt idx="72">
                  <c:v>79.199999999999989</c:v>
                </c:pt>
                <c:pt idx="73">
                  <c:v>80.3</c:v>
                </c:pt>
                <c:pt idx="74">
                  <c:v>81.400000000000006</c:v>
                </c:pt>
                <c:pt idx="75">
                  <c:v>82.5</c:v>
                </c:pt>
                <c:pt idx="76">
                  <c:v>83.600000000000009</c:v>
                </c:pt>
                <c:pt idx="77">
                  <c:v>84.7</c:v>
                </c:pt>
                <c:pt idx="78">
                  <c:v>85.8</c:v>
                </c:pt>
                <c:pt idx="79">
                  <c:v>86.9</c:v>
                </c:pt>
                <c:pt idx="80">
                  <c:v>88.000000000000014</c:v>
                </c:pt>
                <c:pt idx="81">
                  <c:v>89.100000000000009</c:v>
                </c:pt>
                <c:pt idx="82">
                  <c:v>90.199999999999989</c:v>
                </c:pt>
                <c:pt idx="83">
                  <c:v>91.3</c:v>
                </c:pt>
                <c:pt idx="84">
                  <c:v>92.399999999999991</c:v>
                </c:pt>
                <c:pt idx="85">
                  <c:v>93.5</c:v>
                </c:pt>
                <c:pt idx="86">
                  <c:v>94.600000000000009</c:v>
                </c:pt>
                <c:pt idx="87">
                  <c:v>95.699999999999989</c:v>
                </c:pt>
                <c:pt idx="88">
                  <c:v>96.8</c:v>
                </c:pt>
                <c:pt idx="89">
                  <c:v>97.9</c:v>
                </c:pt>
                <c:pt idx="90">
                  <c:v>99</c:v>
                </c:pt>
                <c:pt idx="91">
                  <c:v>100.10000000000001</c:v>
                </c:pt>
                <c:pt idx="92">
                  <c:v>101.2</c:v>
                </c:pt>
                <c:pt idx="93">
                  <c:v>102.3</c:v>
                </c:pt>
                <c:pt idx="94">
                  <c:v>103.39999999999999</c:v>
                </c:pt>
                <c:pt idx="95">
                  <c:v>104.5</c:v>
                </c:pt>
                <c:pt idx="96">
                  <c:v>105.6</c:v>
                </c:pt>
                <c:pt idx="97">
                  <c:v>106.7</c:v>
                </c:pt>
                <c:pt idx="98">
                  <c:v>107.8</c:v>
                </c:pt>
                <c:pt idx="99">
                  <c:v>108.89999999999999</c:v>
                </c:pt>
                <c:pt idx="100">
                  <c:v>110</c:v>
                </c:pt>
              </c:numCache>
            </c:numRef>
          </c:cat>
          <c:val>
            <c:numRef>
              <c:f>'Calculations - Dual'!$AJ$5:$AJ$105</c:f>
              <c:numCache>
                <c:formatCode>0.000</c:formatCode>
                <c:ptCount val="101"/>
                <c:pt idx="0">
                  <c:v>1.0057142857142858</c:v>
                </c:pt>
                <c:pt idx="1">
                  <c:v>1.0077126304262185</c:v>
                </c:pt>
                <c:pt idx="2">
                  <c:v>1.0154252608524372</c:v>
                </c:pt>
                <c:pt idx="3">
                  <c:v>1.0231378912786557</c:v>
                </c:pt>
                <c:pt idx="4">
                  <c:v>1.0308505217048745</c:v>
                </c:pt>
                <c:pt idx="5">
                  <c:v>1.038563152131093</c:v>
                </c:pt>
                <c:pt idx="6">
                  <c:v>1.0462757825573117</c:v>
                </c:pt>
                <c:pt idx="7">
                  <c:v>1.0539884129835302</c:v>
                </c:pt>
                <c:pt idx="8">
                  <c:v>1.0617010434097489</c:v>
                </c:pt>
                <c:pt idx="9">
                  <c:v>1.0694136738359674</c:v>
                </c:pt>
                <c:pt idx="10">
                  <c:v>1.0771263042621861</c:v>
                </c:pt>
                <c:pt idx="11">
                  <c:v>1.0848389346884046</c:v>
                </c:pt>
                <c:pt idx="12">
                  <c:v>1.0925515651146234</c:v>
                </c:pt>
                <c:pt idx="13">
                  <c:v>1.1002641955408419</c:v>
                </c:pt>
                <c:pt idx="14">
                  <c:v>1.1079768259670606</c:v>
                </c:pt>
                <c:pt idx="15">
                  <c:v>1.1156894563932791</c:v>
                </c:pt>
                <c:pt idx="16">
                  <c:v>1.1234020868194978</c:v>
                </c:pt>
                <c:pt idx="17">
                  <c:v>1.1311147172457163</c:v>
                </c:pt>
                <c:pt idx="18">
                  <c:v>1.1388273476719348</c:v>
                </c:pt>
                <c:pt idx="19">
                  <c:v>1.1465399780981536</c:v>
                </c:pt>
                <c:pt idx="20">
                  <c:v>1.1542526085243723</c:v>
                </c:pt>
                <c:pt idx="21">
                  <c:v>1.1619652389505908</c:v>
                </c:pt>
                <c:pt idx="22">
                  <c:v>1.1696778693768093</c:v>
                </c:pt>
                <c:pt idx="23">
                  <c:v>1.177390499803028</c:v>
                </c:pt>
                <c:pt idx="24">
                  <c:v>1.1851031302292467</c:v>
                </c:pt>
                <c:pt idx="25">
                  <c:v>1.1928157606554652</c:v>
                </c:pt>
                <c:pt idx="26">
                  <c:v>1.2808503917419747</c:v>
                </c:pt>
                <c:pt idx="27">
                  <c:v>1.286482616047069</c:v>
                </c:pt>
                <c:pt idx="28">
                  <c:v>1.2920114704341421</c:v>
                </c:pt>
                <c:pt idx="29">
                  <c:v>1.2974424457819196</c:v>
                </c:pt>
                <c:pt idx="30">
                  <c:v>1.3027805634120724</c:v>
                </c:pt>
                <c:pt idx="31">
                  <c:v>1.3080304294536771</c:v>
                </c:pt>
                <c:pt idx="32">
                  <c:v>1.3131962813732332</c:v>
                </c:pt>
                <c:pt idx="33">
                  <c:v>1.3182820280074905</c:v>
                </c:pt>
                <c:pt idx="34">
                  <c:v>1.3232912841746742</c:v>
                </c:pt>
                <c:pt idx="35">
                  <c:v>1.3282274007353896</c:v>
                </c:pt>
                <c:pt idx="36">
                  <c:v>1.3330934908136876</c:v>
                </c:pt>
                <c:pt idx="37">
                  <c:v>1.3378924527612845</c:v>
                </c:pt>
                <c:pt idx="38">
                  <c:v>1.3426269903461103</c:v>
                </c:pt>
                <c:pt idx="39">
                  <c:v>1.3472996305645479</c:v>
                </c:pt>
                <c:pt idx="40">
                  <c:v>1.3519127394105339</c:v>
                </c:pt>
                <c:pt idx="41">
                  <c:v>1.3564685358808617</c:v>
                </c:pt>
                <c:pt idx="42">
                  <c:v>1.3609691044519781</c:v>
                </c:pt>
                <c:pt idx="43">
                  <c:v>1.3654164062273479</c:v>
                </c:pt>
                <c:pt idx="44">
                  <c:v>1.3698122889245301</c:v>
                </c:pt>
                <c:pt idx="45">
                  <c:v>1.3741584958462374</c:v>
                </c:pt>
                <c:pt idx="46">
                  <c:v>1.3784566739589355</c:v>
                </c:pt>
                <c:pt idx="47">
                  <c:v>1.3827083811851477</c:v>
                </c:pt>
                <c:pt idx="48">
                  <c:v>1.3869150930010301</c:v>
                </c:pt>
                <c:pt idx="49">
                  <c:v>1.3910782084184381</c:v>
                </c:pt>
                <c:pt idx="50">
                  <c:v>1.3951990554202451</c:v>
                </c:pt>
                <c:pt idx="51">
                  <c:v>1.399278895908779</c:v>
                </c:pt>
                <c:pt idx="52">
                  <c:v>1.4033189302196394</c:v>
                </c:pt>
                <c:pt idx="53">
                  <c:v>1.4073203012466668</c:v>
                </c:pt>
                <c:pt idx="54">
                  <c:v>1.4112840982182311</c:v>
                </c:pt>
                <c:pt idx="55">
                  <c:v>1.4152113601602045</c:v>
                </c:pt>
                <c:pt idx="56">
                  <c:v>1.419103079076816</c:v>
                </c:pt>
                <c:pt idx="57">
                  <c:v>1.4229602028769799</c:v>
                </c:pt>
                <c:pt idx="58">
                  <c:v>1.4267836380705567</c:v>
                </c:pt>
                <c:pt idx="59">
                  <c:v>1.4305742522562759</c:v>
                </c:pt>
                <c:pt idx="60">
                  <c:v>1.434332876420662</c:v>
                </c:pt>
                <c:pt idx="61">
                  <c:v>1.438060307065226</c:v>
                </c:pt>
                <c:pt idx="62">
                  <c:v>1.4417573081773412</c:v>
                </c:pt>
                <c:pt idx="63">
                  <c:v>1.4454246130586206</c:v>
                </c:pt>
                <c:pt idx="64">
                  <c:v>1.4490629260231886</c:v>
                </c:pt>
                <c:pt idx="65">
                  <c:v>1.4526729239769876</c:v>
                </c:pt>
                <c:pt idx="66">
                  <c:v>1.4562552578881485</c:v>
                </c:pt>
                <c:pt idx="67">
                  <c:v>1.4598105541574702</c:v>
                </c:pt>
                <c:pt idx="68">
                  <c:v>1.4633394158971809</c:v>
                </c:pt>
                <c:pt idx="69">
                  <c:v>1.4668424241253708</c:v>
                </c:pt>
                <c:pt idx="70">
                  <c:v>1.4703201388827987</c:v>
                </c:pt>
                <c:pt idx="71">
                  <c:v>1.473773100278148</c:v>
                </c:pt>
                <c:pt idx="72">
                  <c:v>1.4772018294672571</c:v>
                </c:pt>
                <c:pt idx="73">
                  <c:v>1.4806068295713521</c:v>
                </c:pt>
                <c:pt idx="74">
                  <c:v>1.7097043869697153</c:v>
                </c:pt>
                <c:pt idx="75">
                  <c:v>1.7194951869938304</c:v>
                </c:pt>
                <c:pt idx="76">
                  <c:v>1.729285987017946</c:v>
                </c:pt>
                <c:pt idx="77">
                  <c:v>1.7390767870420611</c:v>
                </c:pt>
                <c:pt idx="78">
                  <c:v>1.7488675870661763</c:v>
                </c:pt>
                <c:pt idx="79">
                  <c:v>1.7586583870902919</c:v>
                </c:pt>
                <c:pt idx="80">
                  <c:v>1.768449187114407</c:v>
                </c:pt>
                <c:pt idx="81">
                  <c:v>1.7782399871385222</c:v>
                </c:pt>
                <c:pt idx="82">
                  <c:v>1.7880307871626373</c:v>
                </c:pt>
                <c:pt idx="83">
                  <c:v>1.7978215871867524</c:v>
                </c:pt>
                <c:pt idx="84">
                  <c:v>1.807612387210868</c:v>
                </c:pt>
                <c:pt idx="85">
                  <c:v>1.8174031872349832</c:v>
                </c:pt>
                <c:pt idx="86">
                  <c:v>1.8271939872590988</c:v>
                </c:pt>
                <c:pt idx="87">
                  <c:v>1.8369847872832137</c:v>
                </c:pt>
                <c:pt idx="88">
                  <c:v>1.846775587307329</c:v>
                </c:pt>
                <c:pt idx="89">
                  <c:v>1.8565663873314442</c:v>
                </c:pt>
                <c:pt idx="90">
                  <c:v>1.8663571873555596</c:v>
                </c:pt>
                <c:pt idx="91">
                  <c:v>1.8761479873796749</c:v>
                </c:pt>
                <c:pt idx="92">
                  <c:v>1.8859387874037901</c:v>
                </c:pt>
                <c:pt idx="93">
                  <c:v>1.8957295874279056</c:v>
                </c:pt>
                <c:pt idx="94">
                  <c:v>1.9055203874520208</c:v>
                </c:pt>
                <c:pt idx="95">
                  <c:v>1.9153111874761359</c:v>
                </c:pt>
                <c:pt idx="96">
                  <c:v>1.9251019875002513</c:v>
                </c:pt>
                <c:pt idx="97">
                  <c:v>1.9348927875243664</c:v>
                </c:pt>
                <c:pt idx="98">
                  <c:v>1.9446835875484818</c:v>
                </c:pt>
                <c:pt idx="99">
                  <c:v>1.9544743875725972</c:v>
                </c:pt>
                <c:pt idx="100">
                  <c:v>1.9642651875967125</c:v>
                </c:pt>
              </c:numCache>
            </c:numRef>
          </c:val>
          <c:smooth val="0"/>
        </c:ser>
        <c:ser>
          <c:idx val="2"/>
          <c:order val="2"/>
          <c:tx>
            <c:v>VIN-max</c:v>
          </c:tx>
          <c:spPr>
            <a:ln>
              <a:solidFill>
                <a:srgbClr val="FF0000"/>
              </a:solidFill>
              <a:prstDash val="solid"/>
            </a:ln>
          </c:spPr>
          <c:marker>
            <c:symbol val="none"/>
          </c:marker>
          <c:val>
            <c:numRef>
              <c:f>'Calculations - Dual'!$AJ$216:$AJ$316</c:f>
              <c:numCache>
                <c:formatCode>0.000</c:formatCode>
                <c:ptCount val="101"/>
                <c:pt idx="0">
                  <c:v>1.0057142857142858</c:v>
                </c:pt>
                <c:pt idx="1">
                  <c:v>1.0077126304262185</c:v>
                </c:pt>
                <c:pt idx="2">
                  <c:v>1.0154252608524372</c:v>
                </c:pt>
                <c:pt idx="3">
                  <c:v>1.0231378912786557</c:v>
                </c:pt>
                <c:pt idx="4">
                  <c:v>1.0308505217048745</c:v>
                </c:pt>
                <c:pt idx="5">
                  <c:v>1.038563152131093</c:v>
                </c:pt>
                <c:pt idx="6">
                  <c:v>1.0462757825573117</c:v>
                </c:pt>
                <c:pt idx="7">
                  <c:v>1.0539884129835302</c:v>
                </c:pt>
                <c:pt idx="8">
                  <c:v>1.0617010434097489</c:v>
                </c:pt>
                <c:pt idx="9">
                  <c:v>1.0694136738359674</c:v>
                </c:pt>
                <c:pt idx="10">
                  <c:v>1.0771263042621861</c:v>
                </c:pt>
                <c:pt idx="11">
                  <c:v>1.0848389346884046</c:v>
                </c:pt>
                <c:pt idx="12">
                  <c:v>1.0925515651146234</c:v>
                </c:pt>
                <c:pt idx="13">
                  <c:v>1.1002641955408419</c:v>
                </c:pt>
                <c:pt idx="14">
                  <c:v>1.1079768259670606</c:v>
                </c:pt>
                <c:pt idx="15">
                  <c:v>1.1156894563932791</c:v>
                </c:pt>
                <c:pt idx="16">
                  <c:v>1.1234020868194978</c:v>
                </c:pt>
                <c:pt idx="17">
                  <c:v>1.1311147172457163</c:v>
                </c:pt>
                <c:pt idx="18">
                  <c:v>1.1388273476719348</c:v>
                </c:pt>
                <c:pt idx="19">
                  <c:v>1.1465399780981536</c:v>
                </c:pt>
                <c:pt idx="20">
                  <c:v>1.1542526085243723</c:v>
                </c:pt>
                <c:pt idx="21">
                  <c:v>1.1619652389505908</c:v>
                </c:pt>
                <c:pt idx="22">
                  <c:v>1.1696778693768093</c:v>
                </c:pt>
                <c:pt idx="23">
                  <c:v>1.177390499803028</c:v>
                </c:pt>
                <c:pt idx="24">
                  <c:v>1.1851031302292467</c:v>
                </c:pt>
                <c:pt idx="25">
                  <c:v>1.1928157606554652</c:v>
                </c:pt>
                <c:pt idx="26">
                  <c:v>1.2808503917419747</c:v>
                </c:pt>
                <c:pt idx="27">
                  <c:v>1.286482616047069</c:v>
                </c:pt>
                <c:pt idx="28">
                  <c:v>1.2920114704341421</c:v>
                </c:pt>
                <c:pt idx="29">
                  <c:v>1.2974424457819196</c:v>
                </c:pt>
                <c:pt idx="30">
                  <c:v>1.3027805634120724</c:v>
                </c:pt>
                <c:pt idx="31">
                  <c:v>1.3080304294536771</c:v>
                </c:pt>
                <c:pt idx="32">
                  <c:v>1.3131962813732332</c:v>
                </c:pt>
                <c:pt idx="33">
                  <c:v>1.3182820280074905</c:v>
                </c:pt>
                <c:pt idx="34">
                  <c:v>1.3232912841746742</c:v>
                </c:pt>
                <c:pt idx="35">
                  <c:v>1.3282274007353896</c:v>
                </c:pt>
                <c:pt idx="36">
                  <c:v>1.3330934908136876</c:v>
                </c:pt>
                <c:pt idx="37">
                  <c:v>1.3378924527612845</c:v>
                </c:pt>
                <c:pt idx="38">
                  <c:v>1.3426269903461103</c:v>
                </c:pt>
                <c:pt idx="39">
                  <c:v>1.3472996305645479</c:v>
                </c:pt>
                <c:pt idx="40">
                  <c:v>1.3519127394105339</c:v>
                </c:pt>
                <c:pt idx="41">
                  <c:v>1.3564685358808617</c:v>
                </c:pt>
                <c:pt idx="42">
                  <c:v>1.3609691044519781</c:v>
                </c:pt>
                <c:pt idx="43">
                  <c:v>1.3654164062273479</c:v>
                </c:pt>
                <c:pt idx="44">
                  <c:v>1.3698122889245301</c:v>
                </c:pt>
                <c:pt idx="45">
                  <c:v>1.3741584958462374</c:v>
                </c:pt>
                <c:pt idx="46">
                  <c:v>1.3784566739589355</c:v>
                </c:pt>
                <c:pt idx="47">
                  <c:v>1.3827083811851477</c:v>
                </c:pt>
                <c:pt idx="48">
                  <c:v>1.3869150930010301</c:v>
                </c:pt>
                <c:pt idx="49">
                  <c:v>1.3910782084184381</c:v>
                </c:pt>
                <c:pt idx="50">
                  <c:v>1.3951990554202451</c:v>
                </c:pt>
                <c:pt idx="51">
                  <c:v>1.399278895908779</c:v>
                </c:pt>
                <c:pt idx="52">
                  <c:v>1.4261898273748519</c:v>
                </c:pt>
                <c:pt idx="53">
                  <c:v>1.4346706858784992</c:v>
                </c:pt>
                <c:pt idx="54">
                  <c:v>1.4431515443821468</c:v>
                </c:pt>
                <c:pt idx="55">
                  <c:v>1.4516324028857941</c:v>
                </c:pt>
                <c:pt idx="56">
                  <c:v>1.4601132613894416</c:v>
                </c:pt>
                <c:pt idx="57">
                  <c:v>1.468594119893089</c:v>
                </c:pt>
                <c:pt idx="58">
                  <c:v>1.4770749783967363</c:v>
                </c:pt>
                <c:pt idx="59">
                  <c:v>1.4855558369003838</c:v>
                </c:pt>
                <c:pt idx="60">
                  <c:v>1.4940366954040314</c:v>
                </c:pt>
                <c:pt idx="61">
                  <c:v>1.5025175539076787</c:v>
                </c:pt>
                <c:pt idx="62">
                  <c:v>1.5109984124113263</c:v>
                </c:pt>
                <c:pt idx="63">
                  <c:v>1.5194792709149736</c:v>
                </c:pt>
                <c:pt idx="64">
                  <c:v>1.5279601294186211</c:v>
                </c:pt>
                <c:pt idx="65">
                  <c:v>1.5364409879222685</c:v>
                </c:pt>
                <c:pt idx="66">
                  <c:v>1.544921846425916</c:v>
                </c:pt>
                <c:pt idx="67">
                  <c:v>1.5534027049295633</c:v>
                </c:pt>
                <c:pt idx="68">
                  <c:v>1.5618835634332109</c:v>
                </c:pt>
                <c:pt idx="69">
                  <c:v>1.5703644219368582</c:v>
                </c:pt>
                <c:pt idx="70">
                  <c:v>1.5788452804405058</c:v>
                </c:pt>
                <c:pt idx="71">
                  <c:v>1.5873261389441531</c:v>
                </c:pt>
                <c:pt idx="72">
                  <c:v>1.5958069974478006</c:v>
                </c:pt>
                <c:pt idx="73">
                  <c:v>1.604287855951448</c:v>
                </c:pt>
                <c:pt idx="74">
                  <c:v>1.6127687144550953</c:v>
                </c:pt>
                <c:pt idx="75">
                  <c:v>1.6212495729587431</c:v>
                </c:pt>
                <c:pt idx="76">
                  <c:v>1.6297304314623904</c:v>
                </c:pt>
                <c:pt idx="77">
                  <c:v>1.6382112899660379</c:v>
                </c:pt>
                <c:pt idx="78">
                  <c:v>1.6466921484696853</c:v>
                </c:pt>
                <c:pt idx="79">
                  <c:v>1.6551730069733328</c:v>
                </c:pt>
                <c:pt idx="80">
                  <c:v>1.6636538654769801</c:v>
                </c:pt>
                <c:pt idx="81">
                  <c:v>1.6721347239806277</c:v>
                </c:pt>
                <c:pt idx="82">
                  <c:v>1.6806155824842748</c:v>
                </c:pt>
                <c:pt idx="83">
                  <c:v>1.6890964409879221</c:v>
                </c:pt>
                <c:pt idx="84">
                  <c:v>1.6975772994915699</c:v>
                </c:pt>
                <c:pt idx="85">
                  <c:v>1.7060581579952172</c:v>
                </c:pt>
                <c:pt idx="86">
                  <c:v>1.7145390164988648</c:v>
                </c:pt>
                <c:pt idx="87">
                  <c:v>1.7230198750025121</c:v>
                </c:pt>
                <c:pt idx="88">
                  <c:v>1.7315007335061594</c:v>
                </c:pt>
                <c:pt idx="89">
                  <c:v>1.7399815920098067</c:v>
                </c:pt>
                <c:pt idx="90">
                  <c:v>1.7484624505134545</c:v>
                </c:pt>
                <c:pt idx="91">
                  <c:v>1.7569433090171018</c:v>
                </c:pt>
                <c:pt idx="92">
                  <c:v>1.7654241675207492</c:v>
                </c:pt>
                <c:pt idx="93">
                  <c:v>1.7739050260243967</c:v>
                </c:pt>
                <c:pt idx="94">
                  <c:v>1.782385884528044</c:v>
                </c:pt>
                <c:pt idx="95">
                  <c:v>1.7908667430316916</c:v>
                </c:pt>
                <c:pt idx="96">
                  <c:v>1.7993476015353389</c:v>
                </c:pt>
                <c:pt idx="97">
                  <c:v>1.8078284600389862</c:v>
                </c:pt>
                <c:pt idx="98">
                  <c:v>1.8163093185426338</c:v>
                </c:pt>
                <c:pt idx="99">
                  <c:v>1.8247901770462813</c:v>
                </c:pt>
                <c:pt idx="100">
                  <c:v>1.8332710355499289</c:v>
                </c:pt>
              </c:numCache>
            </c:numRef>
          </c:val>
          <c:smooth val="0"/>
        </c:ser>
        <c:dLbls>
          <c:showLegendKey val="0"/>
          <c:showVal val="0"/>
          <c:showCatName val="0"/>
          <c:showSerName val="0"/>
          <c:showPercent val="0"/>
          <c:showBubbleSize val="0"/>
        </c:dLbls>
        <c:marker val="1"/>
        <c:smooth val="0"/>
        <c:axId val="201169536"/>
        <c:axId val="201184000"/>
      </c:lineChart>
      <c:catAx>
        <c:axId val="201169536"/>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201184000"/>
        <c:crosses val="autoZero"/>
        <c:auto val="1"/>
        <c:lblAlgn val="ctr"/>
        <c:lblOffset val="100"/>
        <c:tickLblSkip val="20"/>
        <c:tickMarkSkip val="10"/>
        <c:noMultiLvlLbl val="0"/>
      </c:catAx>
      <c:valAx>
        <c:axId val="201184000"/>
        <c:scaling>
          <c:orientation val="minMax"/>
          <c:max val="2.2000000000000002"/>
          <c:min val="1"/>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201169536"/>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19.000000000000004</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38.000000000000007</c:v>
                </c:pt>
                <c:pt idx="39">
                  <c:v>39</c:v>
                </c:pt>
                <c:pt idx="40">
                  <c:v>40</c:v>
                </c:pt>
                <c:pt idx="41">
                  <c:v>40.999999999999993</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71.000000000000014</c:v>
                </c:pt>
                <c:pt idx="72">
                  <c:v>72</c:v>
                </c:pt>
                <c:pt idx="73">
                  <c:v>73</c:v>
                </c:pt>
                <c:pt idx="74">
                  <c:v>74</c:v>
                </c:pt>
                <c:pt idx="75">
                  <c:v>75</c:v>
                </c:pt>
                <c:pt idx="76">
                  <c:v>76.000000000000014</c:v>
                </c:pt>
                <c:pt idx="77">
                  <c:v>77</c:v>
                </c:pt>
                <c:pt idx="78">
                  <c:v>78</c:v>
                </c:pt>
                <c:pt idx="79">
                  <c:v>79</c:v>
                </c:pt>
                <c:pt idx="80">
                  <c:v>80</c:v>
                </c:pt>
                <c:pt idx="81">
                  <c:v>81.000000000000014</c:v>
                </c:pt>
                <c:pt idx="82">
                  <c:v>81.999999999999986</c:v>
                </c:pt>
                <c:pt idx="83">
                  <c:v>83</c:v>
                </c:pt>
                <c:pt idx="84">
                  <c:v>84</c:v>
                </c:pt>
                <c:pt idx="85">
                  <c:v>85</c:v>
                </c:pt>
                <c:pt idx="86">
                  <c:v>86</c:v>
                </c:pt>
                <c:pt idx="87">
                  <c:v>86.999999999999986</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Dual'!$CA$5:$CA$105</c:f>
              <c:numCache>
                <c:formatCode>0.00</c:formatCode>
                <c:ptCount val="101"/>
                <c:pt idx="0">
                  <c:v>1.8074029203527515E-4</c:v>
                </c:pt>
                <c:pt idx="1">
                  <c:v>70.140874984579668</c:v>
                </c:pt>
                <c:pt idx="2">
                  <c:v>80.297243782651549</c:v>
                </c:pt>
                <c:pt idx="3">
                  <c:v>84.365584204187584</c:v>
                </c:pt>
                <c:pt idx="4">
                  <c:v>86.554624715306588</c:v>
                </c:pt>
                <c:pt idx="5">
                  <c:v>87.919879096648742</c:v>
                </c:pt>
                <c:pt idx="6">
                  <c:v>88.850849247391267</c:v>
                </c:pt>
                <c:pt idx="7">
                  <c:v>89.524772293950278</c:v>
                </c:pt>
                <c:pt idx="8">
                  <c:v>90.033888896967412</c:v>
                </c:pt>
                <c:pt idx="9">
                  <c:v>90.43094635086635</c:v>
                </c:pt>
                <c:pt idx="10">
                  <c:v>90.748295642995231</c:v>
                </c:pt>
                <c:pt idx="11">
                  <c:v>91.006883818099482</c:v>
                </c:pt>
                <c:pt idx="12">
                  <c:v>91.220873999207882</c:v>
                </c:pt>
                <c:pt idx="13">
                  <c:v>91.40018749233343</c:v>
                </c:pt>
                <c:pt idx="14">
                  <c:v>91.488297881030689</c:v>
                </c:pt>
                <c:pt idx="15">
                  <c:v>91.396770663982892</c:v>
                </c:pt>
                <c:pt idx="16">
                  <c:v>91.300413619397233</c:v>
                </c:pt>
                <c:pt idx="17">
                  <c:v>91.199496205199893</c:v>
                </c:pt>
                <c:pt idx="18">
                  <c:v>91.094183087863428</c:v>
                </c:pt>
                <c:pt idx="19">
                  <c:v>90.984564855014</c:v>
                </c:pt>
                <c:pt idx="20">
                  <c:v>90.870679169230385</c:v>
                </c:pt>
                <c:pt idx="21">
                  <c:v>90.752525625400608</c:v>
                </c:pt>
                <c:pt idx="22">
                  <c:v>90.630076369640292</c:v>
                </c:pt>
                <c:pt idx="23">
                  <c:v>90.503283809454643</c:v>
                </c:pt>
                <c:pt idx="24">
                  <c:v>90.37208629280093</c:v>
                </c:pt>
                <c:pt idx="25">
                  <c:v>90.236412346565004</c:v>
                </c:pt>
                <c:pt idx="26">
                  <c:v>90.113514212387415</c:v>
                </c:pt>
                <c:pt idx="27">
                  <c:v>90.220075491671793</c:v>
                </c:pt>
                <c:pt idx="28">
                  <c:v>90.319618465911631</c:v>
                </c:pt>
                <c:pt idx="29">
                  <c:v>90.412818167562307</c:v>
                </c:pt>
                <c:pt idx="30">
                  <c:v>90.500264630510401</c:v>
                </c:pt>
                <c:pt idx="31">
                  <c:v>90.582475957388425</c:v>
                </c:pt>
                <c:pt idx="32">
                  <c:v>90.659909036844354</c:v>
                </c:pt>
                <c:pt idx="33">
                  <c:v>90.732968391063736</c:v>
                </c:pt>
                <c:pt idx="34">
                  <c:v>90.802013524582193</c:v>
                </c:pt>
                <c:pt idx="35">
                  <c:v>90.867365063403142</c:v>
                </c:pt>
                <c:pt idx="36">
                  <c:v>90.929309911298134</c:v>
                </c:pt>
                <c:pt idx="37">
                  <c:v>91.000943707463875</c:v>
                </c:pt>
                <c:pt idx="38">
                  <c:v>91.211773137493111</c:v>
                </c:pt>
                <c:pt idx="39">
                  <c:v>91.408715324596329</c:v>
                </c:pt>
                <c:pt idx="40">
                  <c:v>91.592991958692252</c:v>
                </c:pt>
                <c:pt idx="41">
                  <c:v>91.765692528268701</c:v>
                </c:pt>
                <c:pt idx="42">
                  <c:v>91.927791095530168</c:v>
                </c:pt>
                <c:pt idx="43">
                  <c:v>92.080160652810122</c:v>
                </c:pt>
                <c:pt idx="44">
                  <c:v>92.223585447722826</c:v>
                </c:pt>
                <c:pt idx="45">
                  <c:v>92.358771596729056</c:v>
                </c:pt>
                <c:pt idx="46">
                  <c:v>92.486356251774353</c:v>
                </c:pt>
                <c:pt idx="47">
                  <c:v>92.60691553985707</c:v>
                </c:pt>
                <c:pt idx="48">
                  <c:v>92.720971458773775</c:v>
                </c:pt>
                <c:pt idx="49">
                  <c:v>92.828997882273057</c:v>
                </c:pt>
                <c:pt idx="50">
                  <c:v>92.931425803152422</c:v>
                </c:pt>
                <c:pt idx="51">
                  <c:v>93.028647922450432</c:v>
                </c:pt>
                <c:pt idx="52">
                  <c:v>93.121022676007442</c:v>
                </c:pt>
                <c:pt idx="53">
                  <c:v>93.208877775649029</c:v>
                </c:pt>
                <c:pt idx="54">
                  <c:v>93.292513330564191</c:v>
                </c:pt>
                <c:pt idx="55">
                  <c:v>93.372204604689841</c:v>
                </c:pt>
                <c:pt idx="56">
                  <c:v>93.448204457731123</c:v>
                </c:pt>
                <c:pt idx="57">
                  <c:v>93.520745510571047</c:v>
                </c:pt>
                <c:pt idx="58">
                  <c:v>93.590042070027991</c:v>
                </c:pt>
                <c:pt idx="59">
                  <c:v>93.656291843021606</c:v>
                </c:pt>
                <c:pt idx="60">
                  <c:v>93.719677466058428</c:v>
                </c:pt>
                <c:pt idx="61">
                  <c:v>93.780367872423696</c:v>
                </c:pt>
                <c:pt idx="62">
                  <c:v>93.838519516463961</c:v>
                </c:pt>
                <c:pt idx="63">
                  <c:v>93.894277471782885</c:v>
                </c:pt>
                <c:pt idx="64">
                  <c:v>93.947776417980407</c:v>
                </c:pt>
                <c:pt idx="65">
                  <c:v>93.999141528685044</c:v>
                </c:pt>
                <c:pt idx="66">
                  <c:v>94.04848927201293</c:v>
                </c:pt>
                <c:pt idx="67">
                  <c:v>94.095928133195457</c:v>
                </c:pt>
                <c:pt idx="68">
                  <c:v>94.14155926791544</c:v>
                </c:pt>
                <c:pt idx="69">
                  <c:v>94.185477093852185</c:v>
                </c:pt>
                <c:pt idx="70">
                  <c:v>94.22776982703526</c:v>
                </c:pt>
                <c:pt idx="71">
                  <c:v>94.268519968823696</c:v>
                </c:pt>
                <c:pt idx="72">
                  <c:v>94.307804748647357</c:v>
                </c:pt>
                <c:pt idx="73">
                  <c:v>94.345696527052795</c:v>
                </c:pt>
                <c:pt idx="74">
                  <c:v>91.206331725848159</c:v>
                </c:pt>
                <c:pt idx="75">
                  <c:v>91.179851215173358</c:v>
                </c:pt>
                <c:pt idx="76">
                  <c:v>91.152458055962953</c:v>
                </c:pt>
                <c:pt idx="77">
                  <c:v>91.124190085418192</c:v>
                </c:pt>
                <c:pt idx="78">
                  <c:v>91.095082982150032</c:v>
                </c:pt>
                <c:pt idx="79">
                  <c:v>91.065170412359066</c:v>
                </c:pt>
                <c:pt idx="80">
                  <c:v>91.034484164373026</c:v>
                </c:pt>
                <c:pt idx="81">
                  <c:v>91.003054272600878</c:v>
                </c:pt>
                <c:pt idx="82">
                  <c:v>90.970909131855421</c:v>
                </c:pt>
                <c:pt idx="83">
                  <c:v>90.938075602899133</c:v>
                </c:pt>
                <c:pt idx="84">
                  <c:v>90.904579109984226</c:v>
                </c:pt>
                <c:pt idx="85">
                  <c:v>90.870443731080499</c:v>
                </c:pt>
                <c:pt idx="86">
                  <c:v>90.83569228141836</c:v>
                </c:pt>
                <c:pt idx="87">
                  <c:v>90.800346390913134</c:v>
                </c:pt>
                <c:pt idx="88">
                  <c:v>90.764426575983194</c:v>
                </c:pt>
                <c:pt idx="89">
                  <c:v>90.727952306226399</c:v>
                </c:pt>
                <c:pt idx="90">
                  <c:v>90.690942066375797</c:v>
                </c:pt>
                <c:pt idx="91">
                  <c:v>90.65341341391705</c:v>
                </c:pt>
                <c:pt idx="92">
                  <c:v>90.61538303271503</c:v>
                </c:pt>
                <c:pt idx="93">
                  <c:v>90.576866782966064</c:v>
                </c:pt>
                <c:pt idx="94">
                  <c:v>90.537879747763554</c:v>
                </c:pt>
                <c:pt idx="95">
                  <c:v>90.498436276539962</c:v>
                </c:pt>
                <c:pt idx="96">
                  <c:v>90.458550025624731</c:v>
                </c:pt>
                <c:pt idx="97">
                  <c:v>90.418233996137374</c:v>
                </c:pt>
                <c:pt idx="98">
                  <c:v>90.377500569415758</c:v>
                </c:pt>
                <c:pt idx="99">
                  <c:v>90.336361540163267</c:v>
                </c:pt>
                <c:pt idx="100">
                  <c:v>90.294828147482761</c:v>
                </c:pt>
              </c:numCache>
            </c:numRef>
          </c:val>
          <c:smooth val="0"/>
        </c:ser>
        <c:dLbls>
          <c:showLegendKey val="0"/>
          <c:showVal val="0"/>
          <c:showCatName val="0"/>
          <c:showSerName val="0"/>
          <c:showPercent val="0"/>
          <c:showBubbleSize val="0"/>
        </c:dLbls>
        <c:marker val="1"/>
        <c:smooth val="0"/>
        <c:axId val="201232768"/>
        <c:axId val="201234688"/>
      </c:lineChart>
      <c:lineChart>
        <c:grouping val="standard"/>
        <c:varyColors val="0"/>
        <c:ser>
          <c:idx val="2"/>
          <c:order val="1"/>
          <c:tx>
            <c:strRef>
              <c:f>'Calculations - Dual'!$BL$3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Dual'!$BP$5:$BP$105</c:f>
              <c:numCache>
                <c:formatCode>0.0</c:formatCode>
                <c:ptCount val="101"/>
                <c:pt idx="0">
                  <c:v>5.9999999999999997E-7</c:v>
                </c:pt>
                <c:pt idx="1">
                  <c:v>0.92999999999999994</c:v>
                </c:pt>
                <c:pt idx="2">
                  <c:v>1.8599999999999999</c:v>
                </c:pt>
                <c:pt idx="3">
                  <c:v>2.79</c:v>
                </c:pt>
                <c:pt idx="4">
                  <c:v>3.7199999999999998</c:v>
                </c:pt>
                <c:pt idx="5">
                  <c:v>4.6500000000000004</c:v>
                </c:pt>
                <c:pt idx="6">
                  <c:v>5.58</c:v>
                </c:pt>
                <c:pt idx="7">
                  <c:v>6.5100000000000007</c:v>
                </c:pt>
                <c:pt idx="8">
                  <c:v>7.4399999999999995</c:v>
                </c:pt>
                <c:pt idx="9">
                  <c:v>8.3699999999999992</c:v>
                </c:pt>
                <c:pt idx="10">
                  <c:v>9.3000000000000007</c:v>
                </c:pt>
                <c:pt idx="11">
                  <c:v>10.229999999999999</c:v>
                </c:pt>
                <c:pt idx="12">
                  <c:v>11.16</c:v>
                </c:pt>
                <c:pt idx="13">
                  <c:v>12.09</c:v>
                </c:pt>
                <c:pt idx="14">
                  <c:v>13.020000000000001</c:v>
                </c:pt>
                <c:pt idx="15">
                  <c:v>13.950000000000001</c:v>
                </c:pt>
                <c:pt idx="16">
                  <c:v>14.879999999999999</c:v>
                </c:pt>
                <c:pt idx="17">
                  <c:v>15.81</c:v>
                </c:pt>
                <c:pt idx="18">
                  <c:v>16.739999999999998</c:v>
                </c:pt>
                <c:pt idx="19">
                  <c:v>17.670000000000002</c:v>
                </c:pt>
                <c:pt idx="20">
                  <c:v>18.600000000000001</c:v>
                </c:pt>
                <c:pt idx="21">
                  <c:v>19.529999999999998</c:v>
                </c:pt>
                <c:pt idx="22">
                  <c:v>20.459999999999997</c:v>
                </c:pt>
                <c:pt idx="23">
                  <c:v>21.39</c:v>
                </c:pt>
                <c:pt idx="24">
                  <c:v>22.32</c:v>
                </c:pt>
                <c:pt idx="25">
                  <c:v>23.25</c:v>
                </c:pt>
                <c:pt idx="26">
                  <c:v>24.18</c:v>
                </c:pt>
                <c:pt idx="27">
                  <c:v>25.11</c:v>
                </c:pt>
                <c:pt idx="28">
                  <c:v>26.040000000000003</c:v>
                </c:pt>
                <c:pt idx="29">
                  <c:v>26.97</c:v>
                </c:pt>
                <c:pt idx="30">
                  <c:v>27.900000000000002</c:v>
                </c:pt>
                <c:pt idx="31">
                  <c:v>28.83</c:v>
                </c:pt>
                <c:pt idx="32">
                  <c:v>29.759999999999998</c:v>
                </c:pt>
                <c:pt idx="33">
                  <c:v>30.69</c:v>
                </c:pt>
                <c:pt idx="34">
                  <c:v>31.62</c:v>
                </c:pt>
                <c:pt idx="35">
                  <c:v>32.549999999999997</c:v>
                </c:pt>
                <c:pt idx="36">
                  <c:v>33.479999999999997</c:v>
                </c:pt>
                <c:pt idx="37">
                  <c:v>34.409999999999997</c:v>
                </c:pt>
                <c:pt idx="38">
                  <c:v>35.340000000000003</c:v>
                </c:pt>
                <c:pt idx="39">
                  <c:v>36.270000000000003</c:v>
                </c:pt>
                <c:pt idx="40">
                  <c:v>37.200000000000003</c:v>
                </c:pt>
                <c:pt idx="41">
                  <c:v>38.129999999999995</c:v>
                </c:pt>
                <c:pt idx="42">
                  <c:v>39.059999999999995</c:v>
                </c:pt>
                <c:pt idx="43">
                  <c:v>39.989999999999995</c:v>
                </c:pt>
                <c:pt idx="44">
                  <c:v>40.919999999999995</c:v>
                </c:pt>
                <c:pt idx="45">
                  <c:v>41.850000000000009</c:v>
                </c:pt>
                <c:pt idx="46">
                  <c:v>42.78</c:v>
                </c:pt>
                <c:pt idx="47">
                  <c:v>43.71</c:v>
                </c:pt>
                <c:pt idx="48">
                  <c:v>44.64</c:v>
                </c:pt>
                <c:pt idx="49">
                  <c:v>45.57</c:v>
                </c:pt>
                <c:pt idx="50">
                  <c:v>46.5</c:v>
                </c:pt>
                <c:pt idx="51">
                  <c:v>47.43</c:v>
                </c:pt>
                <c:pt idx="52">
                  <c:v>48.36</c:v>
                </c:pt>
                <c:pt idx="53">
                  <c:v>49.29</c:v>
                </c:pt>
                <c:pt idx="54">
                  <c:v>50.22</c:v>
                </c:pt>
                <c:pt idx="55">
                  <c:v>51.15</c:v>
                </c:pt>
                <c:pt idx="56">
                  <c:v>52.080000000000005</c:v>
                </c:pt>
                <c:pt idx="57">
                  <c:v>53.009999999999991</c:v>
                </c:pt>
                <c:pt idx="58">
                  <c:v>53.94</c:v>
                </c:pt>
                <c:pt idx="59">
                  <c:v>54.86999999999999</c:v>
                </c:pt>
                <c:pt idx="60">
                  <c:v>55.800000000000004</c:v>
                </c:pt>
                <c:pt idx="61">
                  <c:v>56.730000000000004</c:v>
                </c:pt>
                <c:pt idx="62">
                  <c:v>57.66</c:v>
                </c:pt>
                <c:pt idx="63">
                  <c:v>58.59</c:v>
                </c:pt>
                <c:pt idx="64">
                  <c:v>59.519999999999996</c:v>
                </c:pt>
                <c:pt idx="65">
                  <c:v>60.45</c:v>
                </c:pt>
                <c:pt idx="66">
                  <c:v>61.38</c:v>
                </c:pt>
                <c:pt idx="67">
                  <c:v>62.31</c:v>
                </c:pt>
                <c:pt idx="68">
                  <c:v>63.24</c:v>
                </c:pt>
                <c:pt idx="69">
                  <c:v>64.169999999999987</c:v>
                </c:pt>
                <c:pt idx="70">
                  <c:v>65.099999999999994</c:v>
                </c:pt>
                <c:pt idx="71">
                  <c:v>66.029999999999987</c:v>
                </c:pt>
                <c:pt idx="72">
                  <c:v>66.959999999999994</c:v>
                </c:pt>
                <c:pt idx="73">
                  <c:v>67.889999999999986</c:v>
                </c:pt>
                <c:pt idx="74">
                  <c:v>68.819999999999993</c:v>
                </c:pt>
                <c:pt idx="75">
                  <c:v>69.75</c:v>
                </c:pt>
                <c:pt idx="76">
                  <c:v>70.680000000000007</c:v>
                </c:pt>
                <c:pt idx="77">
                  <c:v>71.610000000000014</c:v>
                </c:pt>
                <c:pt idx="78">
                  <c:v>72.540000000000006</c:v>
                </c:pt>
                <c:pt idx="79">
                  <c:v>73.470000000000013</c:v>
                </c:pt>
                <c:pt idx="80">
                  <c:v>74.400000000000006</c:v>
                </c:pt>
                <c:pt idx="81">
                  <c:v>75.330000000000013</c:v>
                </c:pt>
                <c:pt idx="82">
                  <c:v>76.259999999999991</c:v>
                </c:pt>
                <c:pt idx="83">
                  <c:v>77.190000000000012</c:v>
                </c:pt>
                <c:pt idx="84">
                  <c:v>78.11999999999999</c:v>
                </c:pt>
                <c:pt idx="85">
                  <c:v>79.050000000000011</c:v>
                </c:pt>
                <c:pt idx="86">
                  <c:v>79.97999999999999</c:v>
                </c:pt>
                <c:pt idx="87">
                  <c:v>80.91</c:v>
                </c:pt>
                <c:pt idx="88">
                  <c:v>81.839999999999989</c:v>
                </c:pt>
                <c:pt idx="89">
                  <c:v>82.77000000000001</c:v>
                </c:pt>
                <c:pt idx="90">
                  <c:v>83.700000000000017</c:v>
                </c:pt>
                <c:pt idx="91">
                  <c:v>84.63000000000001</c:v>
                </c:pt>
                <c:pt idx="92">
                  <c:v>85.56</c:v>
                </c:pt>
                <c:pt idx="93">
                  <c:v>86.490000000000009</c:v>
                </c:pt>
                <c:pt idx="94">
                  <c:v>87.42</c:v>
                </c:pt>
                <c:pt idx="95">
                  <c:v>88.34999999999998</c:v>
                </c:pt>
                <c:pt idx="96">
                  <c:v>89.28</c:v>
                </c:pt>
                <c:pt idx="97">
                  <c:v>90.21</c:v>
                </c:pt>
                <c:pt idx="98">
                  <c:v>91.14</c:v>
                </c:pt>
                <c:pt idx="99">
                  <c:v>92.07</c:v>
                </c:pt>
                <c:pt idx="100">
                  <c:v>93</c:v>
                </c:pt>
              </c:numCache>
            </c:numRef>
          </c:val>
          <c:smooth val="0"/>
        </c:ser>
        <c:ser>
          <c:idx val="3"/>
          <c:order val="2"/>
          <c:tx>
            <c:strRef>
              <c:f>'Calculations - Dual'!$BE$3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Dual'!$BK$5:$BK$105</c:f>
              <c:numCache>
                <c:formatCode>0.0</c:formatCode>
                <c:ptCount val="101"/>
                <c:pt idx="0">
                  <c:v>5.1621122676298157</c:v>
                </c:pt>
                <c:pt idx="1">
                  <c:v>5.7503949558041132</c:v>
                </c:pt>
                <c:pt idx="2">
                  <c:v>8.021026600505321</c:v>
                </c:pt>
                <c:pt idx="3">
                  <c:v>10.291894971117818</c:v>
                </c:pt>
                <c:pt idx="4">
                  <c:v>12.563000104663505</c:v>
                </c:pt>
                <c:pt idx="5">
                  <c:v>14.834342038172018</c:v>
                </c:pt>
                <c:pt idx="6">
                  <c:v>17.105920808680708</c:v>
                </c:pt>
                <c:pt idx="7">
                  <c:v>19.37773645323465</c:v>
                </c:pt>
                <c:pt idx="8">
                  <c:v>21.649789008886636</c:v>
                </c:pt>
                <c:pt idx="9">
                  <c:v>23.922078512697215</c:v>
                </c:pt>
                <c:pt idx="10">
                  <c:v>26.194605001734637</c:v>
                </c:pt>
                <c:pt idx="11">
                  <c:v>28.467368513074895</c:v>
                </c:pt>
                <c:pt idx="12">
                  <c:v>30.740369083801721</c:v>
                </c:pt>
                <c:pt idx="13">
                  <c:v>33.013606751006563</c:v>
                </c:pt>
                <c:pt idx="14">
                  <c:v>35.50041349895438</c:v>
                </c:pt>
                <c:pt idx="15">
                  <c:v>38.612779863006061</c:v>
                </c:pt>
                <c:pt idx="16">
                  <c:v>41.825356081651414</c:v>
                </c:pt>
                <c:pt idx="17">
                  <c:v>45.137995319580632</c:v>
                </c:pt>
                <c:pt idx="18">
                  <c:v>48.550680956165806</c:v>
                </c:pt>
                <c:pt idx="19">
                  <c:v>52.063508337831614</c:v>
                </c:pt>
                <c:pt idx="20">
                  <c:v>55.676670214871343</c:v>
                </c:pt>
                <c:pt idx="21">
                  <c:v>59.390444998478173</c:v>
                </c:pt>
                <c:pt idx="22">
                  <c:v>63.205187207790821</c:v>
                </c:pt>
                <c:pt idx="23">
                  <c:v>67.121319639731027</c:v>
                </c:pt>
                <c:pt idx="24">
                  <c:v>71.139326910061484</c:v>
                </c:pt>
                <c:pt idx="25">
                  <c:v>75.259750097558651</c:v>
                </c:pt>
                <c:pt idx="26">
                  <c:v>79.282206123564478</c:v>
                </c:pt>
                <c:pt idx="27">
                  <c:v>80.619339924254334</c:v>
                </c:pt>
                <c:pt idx="28">
                  <c:v>81.955126415475107</c:v>
                </c:pt>
                <c:pt idx="29">
                  <c:v>83.290082269361847</c:v>
                </c:pt>
                <c:pt idx="30">
                  <c:v>84.624674395264833</c:v>
                </c:pt>
                <c:pt idx="31">
                  <c:v>85.959326037856613</c:v>
                </c:pt>
                <c:pt idx="32">
                  <c:v>87.29442196975539</c:v>
                </c:pt>
                <c:pt idx="33">
                  <c:v>88.630312936124852</c:v>
                </c:pt>
                <c:pt idx="34">
                  <c:v>89.967319477507431</c:v>
                </c:pt>
                <c:pt idx="35">
                  <c:v>91.305735232846146</c:v>
                </c:pt>
                <c:pt idx="36">
                  <c:v>92.64582980557401</c:v>
                </c:pt>
                <c:pt idx="37">
                  <c:v>93.792120335649358</c:v>
                </c:pt>
                <c:pt idx="38">
                  <c:v>92.706731417466841</c:v>
                </c:pt>
                <c:pt idx="39">
                  <c:v>91.678440931192213</c:v>
                </c:pt>
                <c:pt idx="40">
                  <c:v>90.703136732700514</c:v>
                </c:pt>
                <c:pt idx="41">
                  <c:v>89.777094896743108</c:v>
                </c:pt>
                <c:pt idx="42">
                  <c:v>88.896934668779068</c:v>
                </c:pt>
                <c:pt idx="43">
                  <c:v>88.059579575560718</c:v>
                </c:pt>
                <c:pt idx="44">
                  <c:v>87.262223730897588</c:v>
                </c:pt>
                <c:pt idx="45">
                  <c:v>86.502302541950399</c:v>
                </c:pt>
                <c:pt idx="46">
                  <c:v>85.777467157673684</c:v>
                </c:pt>
                <c:pt idx="47">
                  <c:v>85.085562111511194</c:v>
                </c:pt>
                <c:pt idx="48">
                  <c:v>84.424605700464326</c:v>
                </c:pt>
                <c:pt idx="49">
                  <c:v>83.792772716339897</c:v>
                </c:pt>
                <c:pt idx="50">
                  <c:v>83.188379205566946</c:v>
                </c:pt>
                <c:pt idx="51">
                  <c:v>82.609868983995455</c:v>
                </c:pt>
                <c:pt idx="52">
                  <c:v>82.055801674565686</c:v>
                </c:pt>
                <c:pt idx="53">
                  <c:v>81.524842070253968</c:v>
                </c:pt>
                <c:pt idx="54">
                  <c:v>81.015750653542071</c:v>
                </c:pt>
                <c:pt idx="55">
                  <c:v>80.527375127834375</c:v>
                </c:pt>
                <c:pt idx="56">
                  <c:v>80.058642836591773</c:v>
                </c:pt>
                <c:pt idx="57">
                  <c:v>79.608553963124649</c:v>
                </c:pt>
                <c:pt idx="58">
                  <c:v>79.176175418527023</c:v>
                </c:pt>
                <c:pt idx="59">
                  <c:v>78.760635337590031</c:v>
                </c:pt>
                <c:pt idx="60">
                  <c:v>78.361118113054872</c:v>
                </c:pt>
                <c:pt idx="61">
                  <c:v>77.976859907559003</c:v>
                </c:pt>
                <c:pt idx="62">
                  <c:v>77.607144590332311</c:v>
                </c:pt>
                <c:pt idx="63">
                  <c:v>77.251300052318982</c:v>
                </c:pt>
                <c:pt idx="64">
                  <c:v>76.908694859100393</c:v>
                </c:pt>
                <c:pt idx="65">
                  <c:v>76.578735205915592</c:v>
                </c:pt>
                <c:pt idx="66">
                  <c:v>76.260862143335885</c:v>
                </c:pt>
                <c:pt idx="67">
                  <c:v>75.954549045843834</c:v>
                </c:pt>
                <c:pt idx="68">
                  <c:v>75.659299298781576</c:v>
                </c:pt>
                <c:pt idx="69">
                  <c:v>75.374644181930663</c:v>
                </c:pt>
                <c:pt idx="70">
                  <c:v>75.100140930431238</c:v>
                </c:pt>
                <c:pt idx="71">
                  <c:v>74.83537095588683</c:v>
                </c:pt>
                <c:pt idx="72">
                  <c:v>74.579938212376746</c:v>
                </c:pt>
                <c:pt idx="73">
                  <c:v>74.33346769374387</c:v>
                </c:pt>
                <c:pt idx="74">
                  <c:v>141.90882307241245</c:v>
                </c:pt>
                <c:pt idx="75">
                  <c:v>143.91147141997536</c:v>
                </c:pt>
                <c:pt idx="76">
                  <c:v>145.95139688510656</c:v>
                </c:pt>
                <c:pt idx="77">
                  <c:v>148.02854897351082</c:v>
                </c:pt>
                <c:pt idx="78">
                  <c:v>150.14288907155344</c:v>
                </c:pt>
                <c:pt idx="79">
                  <c:v>152.29438986240771</c:v>
                </c:pt>
                <c:pt idx="80">
                  <c:v>154.48303478808626</c:v>
                </c:pt>
                <c:pt idx="81">
                  <c:v>156.70881755343672</c:v>
                </c:pt>
                <c:pt idx="82">
                  <c:v>158.97174166856445</c:v>
                </c:pt>
                <c:pt idx="83">
                  <c:v>161.27182002648661</c:v>
                </c:pt>
                <c:pt idx="84">
                  <c:v>163.60907451312809</c:v>
                </c:pt>
                <c:pt idx="85">
                  <c:v>165.983535647042</c:v>
                </c:pt>
                <c:pt idx="86">
                  <c:v>168.39524224648119</c:v>
                </c:pt>
                <c:pt idx="87">
                  <c:v>170.84424112166775</c:v>
                </c:pt>
                <c:pt idx="88">
                  <c:v>173.33058679030327</c:v>
                </c:pt>
                <c:pt idx="89">
                  <c:v>175.85434121453946</c:v>
                </c:pt>
                <c:pt idx="90">
                  <c:v>178.41557355778795</c:v>
                </c:pt>
                <c:pt idx="91">
                  <c:v>181.01435995989175</c:v>
                </c:pt>
                <c:pt idx="92">
                  <c:v>183.65078332931139</c:v>
                </c:pt>
                <c:pt idx="93">
                  <c:v>186.32493315109238</c:v>
                </c:pt>
                <c:pt idx="94">
                  <c:v>189.03690530949018</c:v>
                </c:pt>
                <c:pt idx="95">
                  <c:v>191.78680192422294</c:v>
                </c:pt>
                <c:pt idx="96">
                  <c:v>194.5747311994088</c:v>
                </c:pt>
                <c:pt idx="97">
                  <c:v>197.40080728432292</c:v>
                </c:pt>
                <c:pt idx="98">
                  <c:v>200.26515014518498</c:v>
                </c:pt>
                <c:pt idx="99">
                  <c:v>203.1678854472452</c:v>
                </c:pt>
                <c:pt idx="100">
                  <c:v>206.1091444465049</c:v>
                </c:pt>
              </c:numCache>
            </c:numRef>
          </c:val>
          <c:smooth val="0"/>
        </c:ser>
        <c:ser>
          <c:idx val="1"/>
          <c:order val="3"/>
          <c:tx>
            <c:strRef>
              <c:f>'Calculations - Dual'!$BQ$3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Dual'!$BW$5:$BW$105</c:f>
              <c:numCache>
                <c:formatCode>0.0</c:formatCode>
                <c:ptCount val="101"/>
                <c:pt idx="0">
                  <c:v>14.755933367721374</c:v>
                </c:pt>
                <c:pt idx="1">
                  <c:v>14.774996085554209</c:v>
                </c:pt>
                <c:pt idx="2">
                  <c:v>14.85254746941577</c:v>
                </c:pt>
                <c:pt idx="3">
                  <c:v>14.938105016145959</c:v>
                </c:pt>
                <c:pt idx="4">
                  <c:v>15.033497035839309</c:v>
                </c:pt>
                <c:pt idx="5">
                  <c:v>15.140255935832162</c:v>
                </c:pt>
                <c:pt idx="6">
                  <c:v>15.259728739377692</c:v>
                </c:pt>
                <c:pt idx="7">
                  <c:v>15.393131847215411</c:v>
                </c:pt>
                <c:pt idx="8">
                  <c:v>15.541583088582417</c:v>
                </c:pt>
                <c:pt idx="9">
                  <c:v>15.70612243950862</c:v>
                </c:pt>
                <c:pt idx="10">
                  <c:v>15.887726345557425</c:v>
                </c:pt>
                <c:pt idx="11">
                  <c:v>16.087318118004656</c:v>
                </c:pt>
                <c:pt idx="12">
                  <c:v>16.305775765513996</c:v>
                </c:pt>
                <c:pt idx="13">
                  <c:v>16.543938069355743</c:v>
                </c:pt>
                <c:pt idx="14">
                  <c:v>17.125763708917862</c:v>
                </c:pt>
                <c:pt idx="15">
                  <c:v>18.59992458243681</c:v>
                </c:pt>
                <c:pt idx="16">
                  <c:v>20.132701701556986</c:v>
                </c:pt>
                <c:pt idx="17">
                  <c:v>21.730878634054264</c:v>
                </c:pt>
                <c:pt idx="18">
                  <c:v>23.401668311596861</c:v>
                </c:pt>
                <c:pt idx="19">
                  <c:v>25.152703500360744</c:v>
                </c:pt>
                <c:pt idx="20">
                  <c:v>26.992028132568461</c:v>
                </c:pt>
                <c:pt idx="21">
                  <c:v>28.928089360510437</c:v>
                </c:pt>
                <c:pt idx="22">
                  <c:v>30.969730222590385</c:v>
                </c:pt>
                <c:pt idx="23">
                  <c:v>33.126182832086876</c:v>
                </c:pt>
                <c:pt idx="24">
                  <c:v>35.407062015560761</c:v>
                </c:pt>
                <c:pt idx="25">
                  <c:v>37.822359340482599</c:v>
                </c:pt>
                <c:pt idx="26">
                  <c:v>40.303699460291362</c:v>
                </c:pt>
                <c:pt idx="27">
                  <c:v>41.782410630216575</c:v>
                </c:pt>
                <c:pt idx="28">
                  <c:v>43.256115041677702</c:v>
                </c:pt>
                <c:pt idx="29">
                  <c:v>44.724855157555936</c:v>
                </c:pt>
                <c:pt idx="30">
                  <c:v>46.188672325998276</c:v>
                </c:pt>
                <c:pt idx="31">
                  <c:v>47.647606808823589</c:v>
                </c:pt>
                <c:pt idx="32">
                  <c:v>49.101697812534624</c:v>
                </c:pt>
                <c:pt idx="33">
                  <c:v>50.550983520883776</c:v>
                </c:pt>
                <c:pt idx="34">
                  <c:v>51.995501128215288</c:v>
                </c:pt>
                <c:pt idx="35">
                  <c:v>53.435286873011677</c:v>
                </c:pt>
                <c:pt idx="36">
                  <c:v>54.870376071225905</c:v>
                </c:pt>
                <c:pt idx="37">
                  <c:v>56.207397748776465</c:v>
                </c:pt>
                <c:pt idx="38">
                  <c:v>56.482211591915593</c:v>
                </c:pt>
                <c:pt idx="39">
                  <c:v>56.793562038731388</c:v>
                </c:pt>
                <c:pt idx="40">
                  <c:v>57.138620817048356</c:v>
                </c:pt>
                <c:pt idx="41">
                  <c:v>57.51484756115191</c:v>
                </c:pt>
                <c:pt idx="42">
                  <c:v>57.91995419527381</c:v>
                </c:pt>
                <c:pt idx="43">
                  <c:v>58.351874456938042</c:v>
                </c:pt>
                <c:pt idx="44">
                  <c:v>58.80873771795239</c:v>
                </c:pt>
                <c:pt idx="45">
                  <c:v>59.288846414520705</c:v>
                </c:pt>
                <c:pt idx="46">
                  <c:v>59.790656520862207</c:v>
                </c:pt>
                <c:pt idx="47">
                  <c:v>60.312760599542493</c:v>
                </c:pt>
                <c:pt idx="48">
                  <c:v>60.853873041576428</c:v>
                </c:pt>
                <c:pt idx="49">
                  <c:v>61.412817174201557</c:v>
                </c:pt>
                <c:pt idx="50">
                  <c:v>61.988513967115281</c:v>
                </c:pt>
                <c:pt idx="51">
                  <c:v>62.579972111309083</c:v>
                </c:pt>
                <c:pt idx="52">
                  <c:v>63.186279280293661</c:v>
                </c:pt>
                <c:pt idx="53">
                  <c:v>63.806594412972579</c:v>
                </c:pt>
                <c:pt idx="54">
                  <c:v>64.440140881859591</c:v>
                </c:pt>
                <c:pt idx="55">
                  <c:v>65.086200430677806</c:v>
                </c:pt>
                <c:pt idx="56">
                  <c:v>65.744107782377938</c:v>
                </c:pt>
                <c:pt idx="57">
                  <c:v>66.413245832863353</c:v>
                </c:pt>
                <c:pt idx="58">
                  <c:v>67.09304135769716</c:v>
                </c:pt>
                <c:pt idx="59">
                  <c:v>67.782961169183366</c:v>
                </c:pt>
                <c:pt idx="60">
                  <c:v>68.482508669777005</c:v>
                </c:pt>
                <c:pt idx="61">
                  <c:v>69.191220755049841</c:v>
                </c:pt>
                <c:pt idx="62">
                  <c:v>69.908665025626235</c:v>
                </c:pt>
                <c:pt idx="63">
                  <c:v>70.634437272792866</c:v>
                </c:pt>
                <c:pt idx="64">
                  <c:v>71.368159207007352</c:v>
                </c:pt>
                <c:pt idx="65">
                  <c:v>72.10947640241757</c:v>
                </c:pt>
                <c:pt idx="66">
                  <c:v>72.858056433843871</c:v>
                </c:pt>
                <c:pt idx="67">
                  <c:v>73.613587185560277</c:v>
                </c:pt>
                <c:pt idx="68">
                  <c:v>74.375775313702121</c:v>
                </c:pt>
                <c:pt idx="69">
                  <c:v>75.144344846288291</c:v>
                </c:pt>
                <c:pt idx="70">
                  <c:v>75.919035906721916</c:v>
                </c:pt>
                <c:pt idx="71">
                  <c:v>76.699603548265429</c:v>
                </c:pt>
                <c:pt idx="72">
                  <c:v>77.485816688410438</c:v>
                </c:pt>
                <c:pt idx="73">
                  <c:v>78.277457133306612</c:v>
                </c:pt>
                <c:pt idx="74">
                  <c:v>148.86096170107189</c:v>
                </c:pt>
                <c:pt idx="75">
                  <c:v>151.99126832804214</c:v>
                </c:pt>
                <c:pt idx="76">
                  <c:v>155.15917667938311</c:v>
                </c:pt>
                <c:pt idx="77">
                  <c:v>158.36473516235611</c:v>
                </c:pt>
                <c:pt idx="78">
                  <c:v>161.60799287902759</c:v>
                </c:pt>
                <c:pt idx="79">
                  <c:v>164.88899962845537</c:v>
                </c:pt>
                <c:pt idx="80">
                  <c:v>168.20780590890701</c:v>
                </c:pt>
                <c:pt idx="81">
                  <c:v>171.5644629201125</c:v>
                </c:pt>
                <c:pt idx="82">
                  <c:v>174.95902256554959</c:v>
                </c:pt>
                <c:pt idx="83">
                  <c:v>178.39153745476352</c:v>
                </c:pt>
                <c:pt idx="84">
                  <c:v>181.86206090572011</c:v>
                </c:pt>
                <c:pt idx="85">
                  <c:v>185.37064694719308</c:v>
                </c:pt>
                <c:pt idx="86">
                  <c:v>188.91735032118584</c:v>
                </c:pt>
                <c:pt idx="87">
                  <c:v>192.5022264853875</c:v>
                </c:pt>
                <c:pt idx="88">
                  <c:v>196.12533161566427</c:v>
                </c:pt>
                <c:pt idx="89">
                  <c:v>199.78672260858409</c:v>
                </c:pt>
                <c:pt idx="90">
                  <c:v>203.48645708397871</c:v>
                </c:pt>
                <c:pt idx="91">
                  <c:v>207.22459338753902</c:v>
                </c:pt>
                <c:pt idx="92">
                  <c:v>211.00119059344746</c:v>
                </c:pt>
                <c:pt idx="93">
                  <c:v>214.81630850704528</c:v>
                </c:pt>
                <c:pt idx="94">
                  <c:v>218.67000766753614</c:v>
                </c:pt>
                <c:pt idx="95">
                  <c:v>222.56234935072609</c:v>
                </c:pt>
                <c:pt idx="96">
                  <c:v>226.49339557180005</c:v>
                </c:pt>
                <c:pt idx="97">
                  <c:v>230.46320908813425</c:v>
                </c:pt>
                <c:pt idx="98">
                  <c:v>234.47185340214716</c:v>
                </c:pt>
                <c:pt idx="99">
                  <c:v>238.51939276418594</c:v>
                </c:pt>
                <c:pt idx="100">
                  <c:v>242.60589217545146</c:v>
                </c:pt>
              </c:numCache>
            </c:numRef>
          </c:val>
          <c:smooth val="0"/>
        </c:ser>
        <c:dLbls>
          <c:showLegendKey val="0"/>
          <c:showVal val="0"/>
          <c:showCatName val="0"/>
          <c:showSerName val="0"/>
          <c:showPercent val="0"/>
          <c:showBubbleSize val="0"/>
        </c:dLbls>
        <c:marker val="1"/>
        <c:smooth val="0"/>
        <c:axId val="201238784"/>
        <c:axId val="201236864"/>
      </c:lineChart>
      <c:catAx>
        <c:axId val="201232768"/>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42471011396394504"/>
              <c:y val="0.93853771636955563"/>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en-US"/>
          </a:p>
        </c:txPr>
        <c:crossAx val="201234688"/>
        <c:crosses val="autoZero"/>
        <c:auto val="1"/>
        <c:lblAlgn val="ctr"/>
        <c:lblOffset val="100"/>
        <c:tickLblSkip val="20"/>
        <c:tickMarkSkip val="20"/>
        <c:noMultiLvlLbl val="0"/>
      </c:catAx>
      <c:valAx>
        <c:axId val="201234688"/>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201232768"/>
        <c:crossesAt val="0"/>
        <c:crossBetween val="between"/>
        <c:majorUnit val="5"/>
        <c:minorUnit val="2.5"/>
      </c:valAx>
      <c:valAx>
        <c:axId val="201236864"/>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en-US"/>
          </a:p>
        </c:txPr>
        <c:crossAx val="201238784"/>
        <c:crosses val="max"/>
        <c:crossBetween val="between"/>
      </c:valAx>
      <c:catAx>
        <c:axId val="201238784"/>
        <c:scaling>
          <c:orientation val="minMax"/>
        </c:scaling>
        <c:delete val="1"/>
        <c:axPos val="b"/>
        <c:numFmt formatCode="General" sourceLinked="1"/>
        <c:majorTickMark val="out"/>
        <c:minorTickMark val="none"/>
        <c:tickLblPos val="nextTo"/>
        <c:crossAx val="201236864"/>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trlProps/ctrlProp1.xml><?xml version="1.0" encoding="utf-8"?>
<formControlPr xmlns="http://schemas.microsoft.com/office/spreadsheetml/2009/9/main" objectType="Spin" dx="16" fmlaLink="$E$7" max="65" min="3" page="10" val="12"/>
</file>

<file path=xl/ctrlProps/ctrlProp10.xml><?xml version="1.0" encoding="utf-8"?>
<formControlPr xmlns="http://schemas.microsoft.com/office/spreadsheetml/2009/9/main" objectType="Drop" dropStyle="combo" dx="16" fmlaLink="$Q$41" fmlaRange="'Variable Mgmt'!$R$56:$R$58" noThreeD="1" val="0"/>
</file>

<file path=xl/ctrlProps/ctrlProp11.xml><?xml version="1.0" encoding="utf-8"?>
<formControlPr xmlns="http://schemas.microsoft.com/office/spreadsheetml/2009/9/main" objectType="Drop" dropStyle="combo" dx="16" fmlaLink="$Q$38" fmlaRange="'Variable Mgmt'!$W$65:$W$68" noThreeD="1" sel="3" val="0"/>
</file>

<file path=xl/ctrlProps/ctrlProp12.xml><?xml version="1.0" encoding="utf-8"?>
<formControlPr xmlns="http://schemas.microsoft.com/office/spreadsheetml/2009/9/main" objectType="Drop" dropStyle="combo" dx="16" fmlaLink="$Q$37" fmlaRange="'Variable Mgmt'!$W$65:$W$68" noThreeD="1" sel="2" val="0"/>
</file>

<file path=xl/ctrlProps/ctrlProp13.xml><?xml version="1.0" encoding="utf-8"?>
<formControlPr xmlns="http://schemas.microsoft.com/office/spreadsheetml/2009/9/main" objectType="Drop" dropStyle="combo" dx="16" fmlaLink="$Q$40" fmlaRange="'Variable Mgmt'!$R$56:$R$58" noThreeD="1" val="0"/>
</file>

<file path=xl/ctrlProps/ctrlProp14.xml><?xml version="1.0" encoding="utf-8"?>
<formControlPr xmlns="http://schemas.microsoft.com/office/spreadsheetml/2009/9/main" objectType="Drop" dropStyle="combo" dx="16" fmlaLink="$Q$42" fmlaRange="'Variable Mgmt'!$R$56:$R$58" noThreeD="1" val="0"/>
</file>

<file path=xl/ctrlProps/ctrlProp15.xml><?xml version="1.0" encoding="utf-8"?>
<formControlPr xmlns="http://schemas.microsoft.com/office/spreadsheetml/2009/9/main" objectType="Drop" dropStyle="combo" dx="16" fmlaLink="$Q$43" fmlaRange="'Variable Mgmt'!$R$56:$R$58" noThreeD="1" val="0"/>
</file>

<file path=xl/ctrlProps/ctrlProp16.xml><?xml version="1.0" encoding="utf-8"?>
<formControlPr xmlns="http://schemas.microsoft.com/office/spreadsheetml/2009/9/main" objectType="Drop" dropStyle="combo" dx="16" fmlaLink="$Q$44" fmlaRange="'Variable Mgmt'!$R$56:$R$58" noThreeD="1" val="0"/>
</file>

<file path=xl/ctrlProps/ctrlProp17.xml><?xml version="1.0" encoding="utf-8"?>
<formControlPr xmlns="http://schemas.microsoft.com/office/spreadsheetml/2009/9/main" objectType="Drop" dropStyle="combo" dx="16" fmlaLink="$Q$35" fmlaRange="'Variable Mgmt'!$W$65:$W$68" noThreeD="1" sel="3" val="0"/>
</file>

<file path=xl/ctrlProps/ctrlProp18.xml><?xml version="1.0" encoding="utf-8"?>
<formControlPr xmlns="http://schemas.microsoft.com/office/spreadsheetml/2009/9/main" objectType="Drop" dropStyle="combo" dx="16" fmlaLink="$Q$45" fmlaRange="'Variable Mgmt'!$R$65:$R$71" noThreeD="1" sel="5" val="0"/>
</file>

<file path=xl/ctrlProps/ctrlProp19.xml><?xml version="1.0" encoding="utf-8"?>
<formControlPr xmlns="http://schemas.microsoft.com/office/spreadsheetml/2009/9/main" objectType="Drop" dropStyle="combo" dx="16" fmlaLink="$Q$34" fmlaRange="'Variable Mgmt'!$R$56:$R$58" noThreeD="1" val="0"/>
</file>

<file path=xl/ctrlProps/ctrlProp2.xml><?xml version="1.0" encoding="utf-8"?>
<formControlPr xmlns="http://schemas.microsoft.com/office/spreadsheetml/2009/9/main" objectType="Drop" dropStyle="combo" dx="16" fmlaLink="'Variable Mgmt'!$J$56" fmlaRange="'Variable Mgmt'!$I$54:$I$55" noThreeD="1" val="0"/>
</file>

<file path=xl/ctrlProps/ctrlProp20.xml><?xml version="1.0" encoding="utf-8"?>
<formControlPr xmlns="http://schemas.microsoft.com/office/spreadsheetml/2009/9/main" objectType="Drop" dropStyle="combo" dx="16" fmlaLink="$Q$33" fmlaRange="'Variable Mgmt'!$R$56:$R$60" noThreeD="1" sel="5" val="0"/>
</file>

<file path=xl/ctrlProps/ctrlProp21.xml><?xml version="1.0" encoding="utf-8"?>
<formControlPr xmlns="http://schemas.microsoft.com/office/spreadsheetml/2009/9/main" objectType="Drop" dropStyle="combo" dx="16" fmlaLink="$Q$39" fmlaRange="'Variable Mgmt'!$W$65:$W$68" noThreeD="1" val="0"/>
</file>

<file path=xl/ctrlProps/ctrlProp22.xml><?xml version="1.0" encoding="utf-8"?>
<formControlPr xmlns="http://schemas.microsoft.com/office/spreadsheetml/2009/9/main" objectType="Drop" dropLines="2" dropStyle="combo" dx="16" fmlaLink="'Variable Mgmt'!$M$56" fmlaRange="'Variable Mgmt'!$L$54:$L$55" noThreeD="1" val="0"/>
</file>

<file path=xl/ctrlProps/ctrlProp3.xml><?xml version="1.0" encoding="utf-8"?>
<formControlPr xmlns="http://schemas.microsoft.com/office/spreadsheetml/2009/9/main" objectType="Drop" dropLines="2" dropStyle="combo" dx="16" fmlaLink="'Variable Mgmt'!$G$56" fmlaRange="'Variable Mgmt'!$F$54:$F$55" noThreeD="1" val="0"/>
</file>

<file path=xl/ctrlProps/ctrlProp4.xml><?xml version="1.0" encoding="utf-8"?>
<formControlPr xmlns="http://schemas.microsoft.com/office/spreadsheetml/2009/9/main" objectType="Drop" dropLines="10" dropStyle="combo" dx="16" fmlaLink="'Variable Mgmt'!$S$38" fmlaRange="'Variable Mgmt'!$R$28:$R$37" noThreeD="1" sel="6" val="0"/>
</file>

<file path=xl/ctrlProps/ctrlProp5.xml><?xml version="1.0" encoding="utf-8"?>
<formControlPr xmlns="http://schemas.microsoft.com/office/spreadsheetml/2009/9/main" objectType="Drop" dropStyle="combo" dx="16" fmlaLink="'Variable Mgmt'!$G$50" fmlaRange="'Variable Mgmt'!$F$48:$F$49" noThreeD="1" val="0"/>
</file>

<file path=xl/ctrlProps/ctrlProp6.xml><?xml version="1.0" encoding="utf-8"?>
<formControlPr xmlns="http://schemas.microsoft.com/office/spreadsheetml/2009/9/main" objectType="Drop" dropLines="10" dropStyle="combo" dx="16" fmlaLink="'Variable Mgmt'!$C$51" fmlaRange="'Variable Mgmt'!$B$48:$B$49" noThreeD="1" val="0"/>
</file>

<file path=xl/ctrlProps/ctrlProp7.xml><?xml version="1.0" encoding="utf-8"?>
<formControlPr xmlns="http://schemas.microsoft.com/office/spreadsheetml/2009/9/main" objectType="Drop" dropStyle="combo" dx="16" fmlaLink="'BOM &amp; Schematic'!$Q$31" fmlaRange="'Variable Mgmt'!$R$56:$R$60" noThreeD="1" sel="5" val="0"/>
</file>

<file path=xl/ctrlProps/ctrlProp8.xml><?xml version="1.0" encoding="utf-8"?>
<formControlPr xmlns="http://schemas.microsoft.com/office/spreadsheetml/2009/9/main" objectType="Drop" dropStyle="combo" dx="16" fmlaLink="$Q$32" fmlaRange="'Variable Mgmt'!$R$56:$R$60" noThreeD="1" sel="5" val="0"/>
</file>

<file path=xl/ctrlProps/ctrlProp9.xml><?xml version="1.0" encoding="utf-8"?>
<formControlPr xmlns="http://schemas.microsoft.com/office/spreadsheetml/2009/9/main" objectType="Drop" dropStyle="combo" dx="16" fmlaLink="$Q$36" fmlaRange="'Variable Mgmt'!$W$65:$W$68" noThreeD="1" sel="3" val="0"/>
</file>

<file path=xl/drawings/_rels/drawing1.xml.rels><?xml version="1.0" encoding="UTF-8" standalone="yes"?>
<Relationships xmlns="http://schemas.openxmlformats.org/package/2006/relationships"><Relationship Id="rId8" Type="http://schemas.openxmlformats.org/officeDocument/2006/relationships/image" Target="../media/image5.jpg"/><Relationship Id="rId3" Type="http://schemas.openxmlformats.org/officeDocument/2006/relationships/hyperlink" Target="http://www.ti.com/widevin" TargetMode="External"/><Relationship Id="rId7" Type="http://schemas.openxmlformats.org/officeDocument/2006/relationships/hyperlink" Target="http://www.ti.com/automotive" TargetMode="External"/><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4.jpg"/><Relationship Id="rId5" Type="http://schemas.openxmlformats.org/officeDocument/2006/relationships/hyperlink" Target="http://www.ti.com/industrial" TargetMode="External"/><Relationship Id="rId4" Type="http://schemas.openxmlformats.org/officeDocument/2006/relationships/image" Target="../media/image3.jpg"/><Relationship Id="rId9" Type="http://schemas.openxmlformats.org/officeDocument/2006/relationships/image" Target="../media/image6.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chart" Target="../charts/chart19.xml"/><Relationship Id="rId1" Type="http://schemas.openxmlformats.org/officeDocument/2006/relationships/chart" Target="../charts/chart18.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image" Target="../media/image19.emf"/></Relationships>
</file>

<file path=xl/drawings/_rels/drawing13.xml.rels><?xml version="1.0" encoding="UTF-8" standalone="yes"?>
<Relationships xmlns="http://schemas.openxmlformats.org/package/2006/relationships"><Relationship Id="rId8" Type="http://schemas.openxmlformats.org/officeDocument/2006/relationships/image" Target="../media/image28.emf"/><Relationship Id="rId13" Type="http://schemas.openxmlformats.org/officeDocument/2006/relationships/image" Target="../media/image33.emf"/><Relationship Id="rId18" Type="http://schemas.openxmlformats.org/officeDocument/2006/relationships/image" Target="../media/image38.emf"/><Relationship Id="rId3" Type="http://schemas.openxmlformats.org/officeDocument/2006/relationships/image" Target="../media/image23.emf"/><Relationship Id="rId21" Type="http://schemas.openxmlformats.org/officeDocument/2006/relationships/image" Target="../media/image41.emf"/><Relationship Id="rId7" Type="http://schemas.openxmlformats.org/officeDocument/2006/relationships/image" Target="../media/image27.emf"/><Relationship Id="rId12" Type="http://schemas.openxmlformats.org/officeDocument/2006/relationships/image" Target="../media/image32.emf"/><Relationship Id="rId17" Type="http://schemas.openxmlformats.org/officeDocument/2006/relationships/image" Target="../media/image37.emf"/><Relationship Id="rId2" Type="http://schemas.openxmlformats.org/officeDocument/2006/relationships/image" Target="../media/image22.emf"/><Relationship Id="rId16" Type="http://schemas.openxmlformats.org/officeDocument/2006/relationships/image" Target="../media/image36.emf"/><Relationship Id="rId20" Type="http://schemas.openxmlformats.org/officeDocument/2006/relationships/image" Target="../media/image40.emf"/><Relationship Id="rId1" Type="http://schemas.openxmlformats.org/officeDocument/2006/relationships/image" Target="../media/image21.emf"/><Relationship Id="rId6" Type="http://schemas.openxmlformats.org/officeDocument/2006/relationships/image" Target="../media/image26.emf"/><Relationship Id="rId11" Type="http://schemas.openxmlformats.org/officeDocument/2006/relationships/image" Target="../media/image31.emf"/><Relationship Id="rId24" Type="http://schemas.openxmlformats.org/officeDocument/2006/relationships/image" Target="../media/image44.emf"/><Relationship Id="rId5" Type="http://schemas.openxmlformats.org/officeDocument/2006/relationships/image" Target="../media/image25.emf"/><Relationship Id="rId15" Type="http://schemas.openxmlformats.org/officeDocument/2006/relationships/image" Target="../media/image35.emf"/><Relationship Id="rId23" Type="http://schemas.openxmlformats.org/officeDocument/2006/relationships/image" Target="../media/image43.emf"/><Relationship Id="rId10" Type="http://schemas.openxmlformats.org/officeDocument/2006/relationships/image" Target="../media/image30.emf"/><Relationship Id="rId19" Type="http://schemas.openxmlformats.org/officeDocument/2006/relationships/image" Target="../media/image39.emf"/><Relationship Id="rId4" Type="http://schemas.openxmlformats.org/officeDocument/2006/relationships/image" Target="../media/image24.emf"/><Relationship Id="rId9" Type="http://schemas.openxmlformats.org/officeDocument/2006/relationships/image" Target="../media/image29.emf"/><Relationship Id="rId14" Type="http://schemas.openxmlformats.org/officeDocument/2006/relationships/image" Target="../media/image34.emf"/><Relationship Id="rId22" Type="http://schemas.openxmlformats.org/officeDocument/2006/relationships/image" Target="../media/image42.emf"/></Relationships>
</file>

<file path=xl/drawings/_rels/drawing2.xml.rels><?xml version="1.0" encoding="UTF-8" standalone="yes"?>
<Relationships xmlns="http://schemas.openxmlformats.org/package/2006/relationships"><Relationship Id="rId1" Type="http://schemas.openxmlformats.org/officeDocument/2006/relationships/image" Target="../media/image11.emf"/></Relationships>
</file>

<file path=xl/drawings/_rels/drawing3.x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3.emf"/></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chart" Target="../charts/chart10.xml"/><Relationship Id="rId4" Type="http://schemas.openxmlformats.org/officeDocument/2006/relationships/chart" Target="../charts/chart9.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3.xml"/><Relationship Id="rId7" Type="http://schemas.openxmlformats.org/officeDocument/2006/relationships/chart" Target="../charts/chart17.xml"/><Relationship Id="rId2" Type="http://schemas.openxmlformats.org/officeDocument/2006/relationships/image" Target="../media/image16.png"/><Relationship Id="rId1" Type="http://schemas.openxmlformats.org/officeDocument/2006/relationships/chart" Target="../charts/chart12.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209550</xdr:colOff>
          <xdr:row>24</xdr:row>
          <xdr:rowOff>243409</xdr:rowOff>
        </xdr:from>
        <xdr:to>
          <xdr:col>25</xdr:col>
          <xdr:colOff>1895036</xdr:colOff>
          <xdr:row>45</xdr:row>
          <xdr:rowOff>91228</xdr:rowOff>
        </xdr:to>
        <xdr:pic>
          <xdr:nvPicPr>
            <xdr:cNvPr id="59" name="Picture 8888"/>
            <xdr:cNvPicPr>
              <a:picLocks noChangeAspect="1" noChangeArrowheads="1"/>
              <a:extLst>
                <a:ext uri="{84589F7E-364E-4C9E-8A38-B11213B215E9}">
                  <a14:cameraTool cellRange="PICTURE3" spid="_x0000_s736583"/>
                </a:ext>
              </a:extLst>
            </xdr:cNvPicPr>
          </xdr:nvPicPr>
          <xdr:blipFill>
            <a:blip xmlns:r="http://schemas.openxmlformats.org/officeDocument/2006/relationships" r:embed="rId1"/>
            <a:srcRect/>
            <a:stretch>
              <a:fillRect/>
            </a:stretch>
          </xdr:blipFill>
          <xdr:spPr bwMode="auto">
            <a:xfrm>
              <a:off x="10701704" y="5408890"/>
              <a:ext cx="6675120" cy="4090107"/>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305021</xdr:colOff>
          <xdr:row>4</xdr:row>
          <xdr:rowOff>103292</xdr:rowOff>
        </xdr:from>
        <xdr:to>
          <xdr:col>25</xdr:col>
          <xdr:colOff>46264</xdr:colOff>
          <xdr:row>24</xdr:row>
          <xdr:rowOff>212257</xdr:rowOff>
        </xdr:to>
        <xdr:pic>
          <xdr:nvPicPr>
            <xdr:cNvPr id="45" name="Picture 8888"/>
            <xdr:cNvPicPr>
              <a:picLocks noChangeAspect="1" noChangeArrowheads="1"/>
              <a:extLst>
                <a:ext uri="{84589F7E-364E-4C9E-8A38-B11213B215E9}">
                  <a14:cameraTool cellRange="PICTURE1" spid="_x0000_s736584"/>
                </a:ext>
              </a:extLst>
            </xdr:cNvPicPr>
          </xdr:nvPicPr>
          <xdr:blipFill>
            <a:blip xmlns:r="http://schemas.openxmlformats.org/officeDocument/2006/relationships" r:embed="rId2"/>
            <a:srcRect/>
            <a:stretch>
              <a:fillRect/>
            </a:stretch>
          </xdr:blipFill>
          <xdr:spPr bwMode="auto">
            <a:xfrm>
              <a:off x="8239346" y="1246292"/>
              <a:ext cx="7313618" cy="4166615"/>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14</xdr:col>
      <xdr:colOff>381978</xdr:colOff>
      <xdr:row>11</xdr:row>
      <xdr:rowOff>72357</xdr:rowOff>
    </xdr:from>
    <xdr:to>
      <xdr:col>15</xdr:col>
      <xdr:colOff>99301</xdr:colOff>
      <xdr:row>12</xdr:row>
      <xdr:rowOff>95485</xdr:rowOff>
    </xdr:to>
    <xdr:sp macro="" textlink="">
      <xdr:nvSpPr>
        <xdr:cNvPr id="2292" name="Text Box 244"/>
        <xdr:cNvSpPr txBox="1">
          <a:spLocks noChangeArrowheads="1"/>
        </xdr:cNvSpPr>
      </xdr:nvSpPr>
      <xdr:spPr bwMode="auto">
        <a:xfrm>
          <a:off x="8925903" y="2644107"/>
          <a:ext cx="326923" cy="223153"/>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C</a:t>
          </a:r>
          <a:r>
            <a:rPr lang="en-US" sz="1100" b="0" i="0" strike="noStrike" baseline="-25000">
              <a:solidFill>
                <a:srgbClr val="000000"/>
              </a:solidFill>
              <a:latin typeface="Arial" pitchFamily="34" charset="0"/>
              <a:cs typeface="Arial" pitchFamily="34" charset="0"/>
            </a:rPr>
            <a:t>IN</a:t>
          </a:r>
        </a:p>
      </xdr:txBody>
    </xdr:sp>
    <xdr:clientData/>
  </xdr:twoCellAnchor>
  <xdr:twoCellAnchor>
    <xdr:from>
      <xdr:col>23</xdr:col>
      <xdr:colOff>132557</xdr:colOff>
      <xdr:row>9</xdr:row>
      <xdr:rowOff>152400</xdr:rowOff>
    </xdr:from>
    <xdr:to>
      <xdr:col>24</xdr:col>
      <xdr:colOff>16035</xdr:colOff>
      <xdr:row>10</xdr:row>
      <xdr:rowOff>152762</xdr:rowOff>
    </xdr:to>
    <xdr:sp macro="" textlink="'Variable Mgmt'!B213">
      <xdr:nvSpPr>
        <xdr:cNvPr id="2315" name="Text Box 267"/>
        <xdr:cNvSpPr txBox="1">
          <a:spLocks noChangeArrowheads="1" noTextEdit="1"/>
        </xdr:cNvSpPr>
      </xdr:nvSpPr>
      <xdr:spPr bwMode="auto">
        <a:xfrm>
          <a:off x="14420057" y="2324100"/>
          <a:ext cx="493078" cy="200387"/>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1100" b="0" i="0" u="none" strike="noStrike" baseline="0">
              <a:solidFill>
                <a:srgbClr val="000000"/>
              </a:solidFill>
              <a:latin typeface="Arial" pitchFamily="34" charset="0"/>
              <a:cs typeface="Arial" pitchFamily="34" charset="0"/>
            </a:rPr>
            <a:pPr algn="l" rtl="0">
              <a:defRPr sz="1000"/>
            </a:pPr>
            <a:t>100µF</a:t>
          </a:fld>
          <a:endParaRPr lang="en-US" sz="1100" b="0" i="0" u="none" strike="noStrike" baseline="0">
            <a:solidFill>
              <a:srgbClr val="000000"/>
            </a:solidFill>
            <a:latin typeface="Arial" pitchFamily="34" charset="0"/>
            <a:cs typeface="Arial" pitchFamily="34" charset="0"/>
          </a:endParaRPr>
        </a:p>
      </xdr:txBody>
    </xdr:sp>
    <xdr:clientData/>
  </xdr:twoCellAnchor>
  <xdr:twoCellAnchor>
    <xdr:from>
      <xdr:col>20</xdr:col>
      <xdr:colOff>471028</xdr:colOff>
      <xdr:row>11</xdr:row>
      <xdr:rowOff>166894</xdr:rowOff>
    </xdr:from>
    <xdr:to>
      <xdr:col>21</xdr:col>
      <xdr:colOff>310312</xdr:colOff>
      <xdr:row>13</xdr:row>
      <xdr:rowOff>15767</xdr:rowOff>
    </xdr:to>
    <xdr:sp macro="" textlink="'Variable Mgmt'!B199">
      <xdr:nvSpPr>
        <xdr:cNvPr id="2323" name="Text Box 275"/>
        <xdr:cNvSpPr txBox="1">
          <a:spLocks noChangeArrowheads="1" noTextEdit="1"/>
        </xdr:cNvSpPr>
      </xdr:nvSpPr>
      <xdr:spPr bwMode="auto">
        <a:xfrm>
          <a:off x="12929728" y="2738644"/>
          <a:ext cx="448884" cy="248923"/>
        </a:xfrm>
        <a:prstGeom prst="rect">
          <a:avLst/>
        </a:prstGeom>
        <a:noFill/>
        <a:ln w="9525">
          <a:noFill/>
          <a:miter lim="800000"/>
          <a:headEnd/>
          <a:tailEnd/>
        </a:ln>
      </xdr:spPr>
      <xdr:txBody>
        <a:bodyPr vertOverflow="clip" wrap="square" lIns="27432" tIns="22860" rIns="0" bIns="0" anchor="ctr" upright="1"/>
        <a:lstStyle/>
        <a:p>
          <a:pPr algn="ctr" rtl="0">
            <a:defRPr sz="1000"/>
          </a:pPr>
          <a:fld id="{08583DE7-3129-476B-98BE-2887A134E956}" type="TxLink">
            <a:rPr lang="en-US" sz="1050" b="0" i="0" u="none" strike="noStrike" baseline="0">
              <a:solidFill>
                <a:srgbClr val="000000"/>
              </a:solidFill>
              <a:latin typeface="Arial" pitchFamily="34" charset="0"/>
              <a:cs typeface="Arial" pitchFamily="34" charset="0"/>
            </a:rPr>
            <a:pPr algn="ctr" rtl="0">
              <a:defRPr sz="1000"/>
            </a:pPr>
            <a:t>47µH</a:t>
          </a:fld>
          <a:endParaRPr lang="en-US" sz="1050" b="0" i="0" u="none" strike="noStrike" baseline="0">
            <a:solidFill>
              <a:srgbClr val="000000"/>
            </a:solidFill>
            <a:latin typeface="Arial" pitchFamily="34" charset="0"/>
            <a:cs typeface="Arial" pitchFamily="34" charset="0"/>
          </a:endParaRPr>
        </a:p>
      </xdr:txBody>
    </xdr:sp>
    <xdr:clientData/>
  </xdr:twoCellAnchor>
  <xdr:twoCellAnchor>
    <xdr:from>
      <xdr:col>14</xdr:col>
      <xdr:colOff>291064</xdr:colOff>
      <xdr:row>12</xdr:row>
      <xdr:rowOff>96249</xdr:rowOff>
    </xdr:from>
    <xdr:to>
      <xdr:col>15</xdr:col>
      <xdr:colOff>155296</xdr:colOff>
      <xdr:row>13</xdr:row>
      <xdr:rowOff>88852</xdr:rowOff>
    </xdr:to>
    <xdr:sp macro="" textlink="'Variable Mgmt'!B218">
      <xdr:nvSpPr>
        <xdr:cNvPr id="2324" name="Text Box 276"/>
        <xdr:cNvSpPr txBox="1">
          <a:spLocks noChangeArrowheads="1" noTextEdit="1"/>
        </xdr:cNvSpPr>
      </xdr:nvSpPr>
      <xdr:spPr bwMode="auto">
        <a:xfrm>
          <a:off x="8834989" y="2868024"/>
          <a:ext cx="473832" cy="192628"/>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1100" b="0" i="0" u="none" strike="noStrike" baseline="0">
              <a:solidFill>
                <a:srgbClr val="000000"/>
              </a:solidFill>
              <a:latin typeface="Arial" pitchFamily="34" charset="0"/>
              <a:cs typeface="Arial" pitchFamily="34" charset="0"/>
            </a:rPr>
            <a:pPr algn="ctr" rtl="0">
              <a:defRPr sz="1000"/>
            </a:pPr>
            <a:t>22µF</a:t>
          </a:fld>
          <a:endParaRPr lang="en-US" sz="1100" b="0" i="0" u="none" strike="noStrike" baseline="0">
            <a:solidFill>
              <a:srgbClr val="000000"/>
            </a:solidFill>
            <a:latin typeface="Arial" pitchFamily="34" charset="0"/>
            <a:cs typeface="Arial" pitchFamily="34" charset="0"/>
          </a:endParaRPr>
        </a:p>
      </xdr:txBody>
    </xdr:sp>
    <xdr:clientData/>
  </xdr:twoCellAnchor>
  <xdr:twoCellAnchor>
    <xdr:from>
      <xdr:col>15</xdr:col>
      <xdr:colOff>240362</xdr:colOff>
      <xdr:row>21</xdr:row>
      <xdr:rowOff>19528</xdr:rowOff>
    </xdr:from>
    <xdr:to>
      <xdr:col>16</xdr:col>
      <xdr:colOff>8055</xdr:colOff>
      <xdr:row>22</xdr:row>
      <xdr:rowOff>97673</xdr:rowOff>
    </xdr:to>
    <xdr:sp macro="" textlink="'Variable Mgmt'!D245">
      <xdr:nvSpPr>
        <xdr:cNvPr id="2329" name="Text Box 281"/>
        <xdr:cNvSpPr txBox="1">
          <a:spLocks noChangeArrowheads="1" noTextEdit="1"/>
        </xdr:cNvSpPr>
      </xdr:nvSpPr>
      <xdr:spPr bwMode="auto">
        <a:xfrm>
          <a:off x="9393887" y="4639153"/>
          <a:ext cx="443968" cy="287695"/>
        </a:xfrm>
        <a:prstGeom prst="rect">
          <a:avLst/>
        </a:prstGeom>
        <a:noFill/>
        <a:ln w="9525">
          <a:noFill/>
          <a:miter lim="800000"/>
          <a:headEnd/>
          <a:tailEnd/>
        </a:ln>
      </xdr:spPr>
      <xdr:txBody>
        <a:bodyPr vertOverflow="clip" wrap="square" lIns="27432" tIns="22860" rIns="0" bIns="0" anchor="ctr" upright="1"/>
        <a:lstStyle/>
        <a:p>
          <a:pPr algn="ctr" rtl="0">
            <a:defRPr sz="1000"/>
          </a:pPr>
          <a:fld id="{F2115F91-8BFD-4C9B-9969-8B2C04ADF4C5}" type="TxLink">
            <a:rPr lang="en-US" sz="1100" b="0" i="0" u="none" strike="noStrike">
              <a:solidFill>
                <a:srgbClr val="000000"/>
              </a:solidFill>
              <a:latin typeface="Arial"/>
              <a:cs typeface="Arial"/>
            </a:rPr>
            <a:pPr algn="ctr" rtl="0">
              <a:defRPr sz="1000"/>
            </a:pPr>
            <a:t>39nF</a:t>
          </a:fld>
          <a:endParaRPr lang="en-US" sz="1100" b="0" i="0" strike="noStrike">
            <a:solidFill>
              <a:srgbClr val="000000"/>
            </a:solidFill>
            <a:latin typeface="Arial" pitchFamily="34" charset="0"/>
            <a:cs typeface="Arial" pitchFamily="34" charset="0"/>
          </a:endParaRPr>
        </a:p>
      </xdr:txBody>
    </xdr:sp>
    <xdr:clientData/>
  </xdr:twoCellAnchor>
  <xdr:twoCellAnchor>
    <xdr:from>
      <xdr:col>13</xdr:col>
      <xdr:colOff>383720</xdr:colOff>
      <xdr:row>6</xdr:row>
      <xdr:rowOff>10907</xdr:rowOff>
    </xdr:from>
    <xdr:to>
      <xdr:col>14</xdr:col>
      <xdr:colOff>285286</xdr:colOff>
      <xdr:row>8</xdr:row>
      <xdr:rowOff>95545</xdr:rowOff>
    </xdr:to>
    <xdr:sp macro="" textlink="'Variable Mgmt'!B205">
      <xdr:nvSpPr>
        <xdr:cNvPr id="2331" name="Text Box 283"/>
        <xdr:cNvSpPr txBox="1">
          <a:spLocks noChangeArrowheads="1" noTextEdit="1"/>
        </xdr:cNvSpPr>
      </xdr:nvSpPr>
      <xdr:spPr bwMode="auto">
        <a:xfrm>
          <a:off x="8318045" y="1601582"/>
          <a:ext cx="511166" cy="465638"/>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400" b="1" i="0" u="none" strike="noStrike">
              <a:solidFill>
                <a:srgbClr val="FF0000"/>
              </a:solidFill>
              <a:latin typeface="Arial" pitchFamily="34" charset="0"/>
              <a:cs typeface="Arial" pitchFamily="34" charset="0"/>
            </a:rPr>
            <a:pPr algn="r" rtl="0">
              <a:defRPr sz="1000"/>
            </a:pPr>
            <a:t>12V</a:t>
          </a:fld>
          <a:endParaRPr lang="en-US" sz="1400" b="1" i="0" strike="noStrike">
            <a:solidFill>
              <a:srgbClr val="FF0000"/>
            </a:solidFill>
            <a:latin typeface="Arial" pitchFamily="34" charset="0"/>
            <a:cs typeface="Arial" pitchFamily="34" charset="0"/>
          </a:endParaRPr>
        </a:p>
      </xdr:txBody>
    </xdr:sp>
    <xdr:clientData/>
  </xdr:twoCellAnchor>
  <xdr:twoCellAnchor>
    <xdr:from>
      <xdr:col>24</xdr:col>
      <xdr:colOff>19339</xdr:colOff>
      <xdr:row>6</xdr:row>
      <xdr:rowOff>57503</xdr:rowOff>
    </xdr:from>
    <xdr:to>
      <xdr:col>25</xdr:col>
      <xdr:colOff>74772</xdr:colOff>
      <xdr:row>8</xdr:row>
      <xdr:rowOff>34017</xdr:rowOff>
    </xdr:to>
    <xdr:sp macro="" textlink="'Variable Mgmt'!B208">
      <xdr:nvSpPr>
        <xdr:cNvPr id="2333" name="Text Box 285"/>
        <xdr:cNvSpPr txBox="1">
          <a:spLocks noChangeArrowheads="1" noTextEdit="1"/>
        </xdr:cNvSpPr>
      </xdr:nvSpPr>
      <xdr:spPr bwMode="auto">
        <a:xfrm>
          <a:off x="14916439" y="1648178"/>
          <a:ext cx="665033" cy="357514"/>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400" b="1" i="0" u="none" strike="noStrike" baseline="0">
              <a:solidFill>
                <a:srgbClr val="FF0000"/>
              </a:solidFill>
              <a:latin typeface="Arial" pitchFamily="34" charset="0"/>
              <a:cs typeface="Arial" pitchFamily="34" charset="0"/>
            </a:rPr>
            <a:pPr algn="l" rtl="0">
              <a:defRPr sz="1000"/>
            </a:pPr>
            <a:t>24V</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23</xdr:col>
      <xdr:colOff>476250</xdr:colOff>
      <xdr:row>7</xdr:row>
      <xdr:rowOff>153310</xdr:rowOff>
    </xdr:from>
    <xdr:to>
      <xdr:col>24</xdr:col>
      <xdr:colOff>417738</xdr:colOff>
      <xdr:row>9</xdr:row>
      <xdr:rowOff>64353</xdr:rowOff>
    </xdr:to>
    <xdr:sp macro="" textlink="'Variable Mgmt'!B263">
      <xdr:nvSpPr>
        <xdr:cNvPr id="2334" name="Text Box 286"/>
        <xdr:cNvSpPr txBox="1">
          <a:spLocks noChangeArrowheads="1" noTextEdit="1"/>
        </xdr:cNvSpPr>
      </xdr:nvSpPr>
      <xdr:spPr bwMode="auto">
        <a:xfrm>
          <a:off x="14763750" y="1924960"/>
          <a:ext cx="551088" cy="311093"/>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350" b="1" i="0" u="none" strike="noStrike">
              <a:solidFill>
                <a:srgbClr val="FF0000"/>
              </a:solidFill>
              <a:latin typeface="Arial" pitchFamily="34" charset="0"/>
              <a:cs typeface="Arial" pitchFamily="34" charset="0"/>
            </a:rPr>
            <a:pPr algn="ctr" rtl="0">
              <a:defRPr sz="1000"/>
            </a:pPr>
            <a:t>0.11A</a:t>
          </a:fld>
          <a:endParaRPr lang="en-US" sz="1350" b="1" i="0" strike="noStrike">
            <a:solidFill>
              <a:srgbClr val="FF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xdr:from>
          <xdr:col>5</xdr:col>
          <xdr:colOff>123825</xdr:colOff>
          <xdr:row>6</xdr:row>
          <xdr:rowOff>9525</xdr:rowOff>
        </xdr:from>
        <xdr:to>
          <xdr:col>5</xdr:col>
          <xdr:colOff>304800</xdr:colOff>
          <xdr:row>7</xdr:row>
          <xdr:rowOff>28575</xdr:rowOff>
        </xdr:to>
        <xdr:sp macro="" textlink="">
          <xdr:nvSpPr>
            <xdr:cNvPr id="672895" name="Spinner 127" hidden="1">
              <a:extLst>
                <a:ext uri="{63B3BB69-23CF-44E3-9099-C40C66FF867C}">
                  <a14:compatExt spid="_x0000_s672895"/>
                </a:ext>
              </a:extLst>
            </xdr:cNvPr>
            <xdr:cNvSpPr/>
          </xdr:nvSpPr>
          <xdr:spPr>
            <a:xfrm>
              <a:off x="0" y="0"/>
              <a:ext cx="0" cy="0"/>
            </a:xfrm>
            <a:prstGeom prst="rect">
              <a:avLst/>
            </a:prstGeom>
          </xdr:spPr>
        </xdr:sp>
        <xdr:clientData/>
      </xdr:twoCellAnchor>
    </mc:Choice>
    <mc:Fallback/>
  </mc:AlternateContent>
  <xdr:twoCellAnchor>
    <xdr:from>
      <xdr:col>15</xdr:col>
      <xdr:colOff>335079</xdr:colOff>
      <xdr:row>10</xdr:row>
      <xdr:rowOff>32564</xdr:rowOff>
    </xdr:from>
    <xdr:to>
      <xdr:col>16</xdr:col>
      <xdr:colOff>183502</xdr:colOff>
      <xdr:row>11</xdr:row>
      <xdr:rowOff>77904</xdr:rowOff>
    </xdr:to>
    <xdr:sp macro="" textlink="'Variable Mgmt'!C237">
      <xdr:nvSpPr>
        <xdr:cNvPr id="71" name="Text Box 268"/>
        <xdr:cNvSpPr txBox="1">
          <a:spLocks noChangeArrowheads="1" noTextEdit="1"/>
        </xdr:cNvSpPr>
      </xdr:nvSpPr>
      <xdr:spPr bwMode="auto">
        <a:xfrm>
          <a:off x="9488604" y="2404289"/>
          <a:ext cx="524698" cy="245365"/>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1000" b="0" i="0" u="none" strike="noStrike">
              <a:solidFill>
                <a:srgbClr val="000000"/>
              </a:solidFill>
              <a:latin typeface="Arial"/>
              <a:cs typeface="Arial"/>
            </a:rPr>
            <a:pPr algn="l" rtl="0">
              <a:defRPr sz="1000"/>
            </a:pPr>
            <a:t>169kΩ</a:t>
          </a:fld>
          <a:endParaRPr lang="el-GR" sz="1000" b="0" i="0" strike="noStrike">
            <a:solidFill>
              <a:srgbClr val="000000"/>
            </a:solidFill>
            <a:latin typeface="Arial" pitchFamily="34" charset="0"/>
            <a:cs typeface="Arial" pitchFamily="34" charset="0"/>
          </a:endParaRPr>
        </a:p>
      </xdr:txBody>
    </xdr:sp>
    <xdr:clientData/>
  </xdr:twoCellAnchor>
  <xdr:twoCellAnchor>
    <xdr:from>
      <xdr:col>15</xdr:col>
      <xdr:colOff>316029</xdr:colOff>
      <xdr:row>14</xdr:row>
      <xdr:rowOff>215084</xdr:rowOff>
    </xdr:from>
    <xdr:to>
      <xdr:col>16</xdr:col>
      <xdr:colOff>164452</xdr:colOff>
      <xdr:row>15</xdr:row>
      <xdr:rowOff>176021</xdr:rowOff>
    </xdr:to>
    <xdr:sp macro="" textlink="'Variable Mgmt'!C238">
      <xdr:nvSpPr>
        <xdr:cNvPr id="73" name="Text Box 268"/>
        <xdr:cNvSpPr txBox="1">
          <a:spLocks noChangeArrowheads="1" noTextEdit="1"/>
        </xdr:cNvSpPr>
      </xdr:nvSpPr>
      <xdr:spPr bwMode="auto">
        <a:xfrm>
          <a:off x="9469554" y="3386909"/>
          <a:ext cx="524698" cy="208587"/>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1000" b="0" i="0" u="none" strike="noStrike">
              <a:solidFill>
                <a:srgbClr val="000000"/>
              </a:solidFill>
              <a:latin typeface="Arial"/>
              <a:cs typeface="Arial"/>
            </a:rPr>
            <a:pPr algn="l" rtl="0">
              <a:defRPr sz="1000"/>
            </a:pPr>
            <a:t>84.5kΩ</a:t>
          </a:fld>
          <a:endParaRPr lang="el-GR" sz="1000" b="0" i="0" strike="noStrike">
            <a:solidFill>
              <a:srgbClr val="000000"/>
            </a:solidFill>
            <a:latin typeface="Arial" pitchFamily="34" charset="0"/>
            <a:cs typeface="Arial" pitchFamily="34" charset="0"/>
          </a:endParaRPr>
        </a:p>
      </xdr:txBody>
    </xdr:sp>
    <xdr:clientData/>
  </xdr:twoCellAnchor>
  <xdr:twoCellAnchor>
    <xdr:from>
      <xdr:col>19</xdr:col>
      <xdr:colOff>325713</xdr:colOff>
      <xdr:row>15</xdr:row>
      <xdr:rowOff>30701</xdr:rowOff>
    </xdr:from>
    <xdr:to>
      <xdr:col>20</xdr:col>
      <xdr:colOff>235357</xdr:colOff>
      <xdr:row>16</xdr:row>
      <xdr:rowOff>65648</xdr:rowOff>
    </xdr:to>
    <xdr:sp macro="" textlink="'Variable Mgmt'!C227">
      <xdr:nvSpPr>
        <xdr:cNvPr id="89" name="Text Box 268"/>
        <xdr:cNvSpPr txBox="1">
          <a:spLocks noChangeArrowheads="1" noTextEdit="1"/>
        </xdr:cNvSpPr>
      </xdr:nvSpPr>
      <xdr:spPr bwMode="auto">
        <a:xfrm>
          <a:off x="12174813" y="3450176"/>
          <a:ext cx="519244" cy="234972"/>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1100" b="0" i="0" u="none" strike="noStrike">
              <a:solidFill>
                <a:srgbClr val="000000"/>
              </a:solidFill>
              <a:latin typeface="Arial"/>
              <a:cs typeface="Arial"/>
            </a:rPr>
            <a:pPr algn="l" rtl="0">
              <a:defRPr sz="1000"/>
            </a:pPr>
            <a:t>727.5kΩ</a:t>
          </a:fld>
          <a:endParaRPr lang="el-GR" sz="1800" b="0" i="0" strike="noStrike">
            <a:solidFill>
              <a:srgbClr val="000000"/>
            </a:solidFill>
            <a:latin typeface="Arial" pitchFamily="34" charset="0"/>
            <a:cs typeface="Arial" pitchFamily="34" charset="0"/>
          </a:endParaRPr>
        </a:p>
      </xdr:txBody>
    </xdr:sp>
    <xdr:clientData/>
  </xdr:twoCellAnchor>
  <xdr:twoCellAnchor>
    <xdr:from>
      <xdr:col>20</xdr:col>
      <xdr:colOff>366817</xdr:colOff>
      <xdr:row>20</xdr:row>
      <xdr:rowOff>42569</xdr:rowOff>
    </xdr:from>
    <xdr:to>
      <xdr:col>21</xdr:col>
      <xdr:colOff>268980</xdr:colOff>
      <xdr:row>21</xdr:row>
      <xdr:rowOff>43965</xdr:rowOff>
    </xdr:to>
    <xdr:sp macro="" textlink="'Variable Mgmt'!C241">
      <xdr:nvSpPr>
        <xdr:cNvPr id="91" name="Text Box 265"/>
        <xdr:cNvSpPr txBox="1">
          <a:spLocks noChangeArrowheads="1" noTextEdit="1"/>
        </xdr:cNvSpPr>
      </xdr:nvSpPr>
      <xdr:spPr bwMode="auto">
        <a:xfrm>
          <a:off x="12825517" y="4462169"/>
          <a:ext cx="511763" cy="201421"/>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1100" b="0" i="0" u="none" strike="noStrike" baseline="0">
              <a:solidFill>
                <a:srgbClr val="000000"/>
              </a:solidFill>
              <a:latin typeface="Arial"/>
              <a:cs typeface="Arial"/>
            </a:rPr>
            <a:pPr algn="l" rtl="0">
              <a:defRPr sz="1000"/>
            </a:pPr>
            <a:t>12.1kΩ</a:t>
          </a:fld>
          <a:endParaRPr lang="el-GR" sz="1200" b="0" i="0" u="none" strike="noStrike" baseline="0">
            <a:solidFill>
              <a:srgbClr val="000000"/>
            </a:solidFill>
            <a:latin typeface="Arial" pitchFamily="34" charset="0"/>
            <a:cs typeface="Arial" pitchFamily="34" charset="0"/>
          </a:endParaRPr>
        </a:p>
      </xdr:txBody>
    </xdr:sp>
    <xdr:clientData/>
  </xdr:twoCellAnchor>
  <xdr:twoCellAnchor>
    <xdr:from>
      <xdr:col>13</xdr:col>
      <xdr:colOff>390526</xdr:colOff>
      <xdr:row>8</xdr:row>
      <xdr:rowOff>14707</xdr:rowOff>
    </xdr:from>
    <xdr:to>
      <xdr:col>15</xdr:col>
      <xdr:colOff>200026</xdr:colOff>
      <xdr:row>9</xdr:row>
      <xdr:rowOff>100569</xdr:rowOff>
    </xdr:to>
    <xdr:sp macro="" textlink="'Variable Mgmt'!B206">
      <xdr:nvSpPr>
        <xdr:cNvPr id="35" name="Text Box 283"/>
        <xdr:cNvSpPr txBox="1">
          <a:spLocks noChangeArrowheads="1" noTextEdit="1"/>
        </xdr:cNvSpPr>
      </xdr:nvSpPr>
      <xdr:spPr bwMode="auto">
        <a:xfrm>
          <a:off x="8324851" y="1986382"/>
          <a:ext cx="1028700" cy="285887"/>
        </a:xfrm>
        <a:prstGeom prst="rect">
          <a:avLst/>
        </a:prstGeom>
        <a:noFill/>
        <a:ln w="9525">
          <a:noFill/>
          <a:miter lim="800000"/>
          <a:headEnd/>
          <a:tailEnd/>
        </a:ln>
      </xdr:spPr>
      <xdr:txBody>
        <a:bodyPr vertOverflow="clip" wrap="square" lIns="27432" tIns="22860" rIns="0" bIns="0" anchor="t" upright="1"/>
        <a:lstStyle/>
        <a:p>
          <a:pPr algn="l" rtl="0">
            <a:defRPr sz="1000"/>
          </a:pPr>
          <a:fld id="{47315316-35F3-49E7-A4CE-EA42773D1FAE}" type="TxLink">
            <a:rPr lang="en-US" sz="1200" b="1" i="0" u="none" strike="noStrike">
              <a:solidFill>
                <a:srgbClr val="000000"/>
              </a:solidFill>
              <a:latin typeface="Arial"/>
              <a:cs typeface="Arial"/>
            </a:rPr>
            <a:pPr algn="l" rtl="0">
              <a:defRPr sz="1000"/>
            </a:pPr>
            <a:t>10V...15V</a:t>
          </a:fld>
          <a:endParaRPr lang="en-US" sz="1200" b="1"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9525</xdr:colOff>
          <xdr:row>27</xdr:row>
          <xdr:rowOff>0</xdr:rowOff>
        </xdr:from>
        <xdr:to>
          <xdr:col>5</xdr:col>
          <xdr:colOff>276225</xdr:colOff>
          <xdr:row>28</xdr:row>
          <xdr:rowOff>28575</xdr:rowOff>
        </xdr:to>
        <xdr:sp macro="" textlink="">
          <xdr:nvSpPr>
            <xdr:cNvPr id="672935" name="Drop Down 167" hidden="1">
              <a:extLst>
                <a:ext uri="{63B3BB69-23CF-44E3-9099-C40C66FF867C}">
                  <a14:compatExt spid="_x0000_s672935"/>
                </a:ext>
              </a:extLst>
            </xdr:cNvPr>
            <xdr:cNvSpPr/>
          </xdr:nvSpPr>
          <xdr:spPr>
            <a:xfrm>
              <a:off x="0" y="0"/>
              <a:ext cx="0" cy="0"/>
            </a:xfrm>
            <a:prstGeom prst="rect">
              <a:avLst/>
            </a:prstGeom>
          </xdr:spPr>
        </xdr:sp>
        <xdr:clientData/>
      </xdr:twoCellAnchor>
    </mc:Choice>
    <mc:Fallback/>
  </mc:AlternateContent>
  <xdr:twoCellAnchor>
    <xdr:from>
      <xdr:col>19</xdr:col>
      <xdr:colOff>345191</xdr:colOff>
      <xdr:row>18</xdr:row>
      <xdr:rowOff>179673</xdr:rowOff>
    </xdr:from>
    <xdr:to>
      <xdr:col>20</xdr:col>
      <xdr:colOff>66463</xdr:colOff>
      <xdr:row>20</xdr:row>
      <xdr:rowOff>31513</xdr:rowOff>
    </xdr:to>
    <xdr:sp macro="" textlink="'Variable Mgmt'!C233">
      <xdr:nvSpPr>
        <xdr:cNvPr id="43" name="Text Box 225"/>
        <xdr:cNvSpPr txBox="1">
          <a:spLocks noChangeArrowheads="1"/>
        </xdr:cNvSpPr>
      </xdr:nvSpPr>
      <xdr:spPr bwMode="auto">
        <a:xfrm>
          <a:off x="12194291" y="4199223"/>
          <a:ext cx="330872" cy="251890"/>
        </a:xfrm>
        <a:prstGeom prst="rect">
          <a:avLst/>
        </a:prstGeom>
        <a:noFill/>
        <a:ln w="9525">
          <a:noFill/>
          <a:miter lim="800000"/>
          <a:headEnd/>
          <a:tailEnd/>
        </a:ln>
      </xdr:spPr>
      <xdr:txBody>
        <a:bodyPr vertOverflow="clip" wrap="square" lIns="27432" tIns="27432" rIns="0" bIns="0" anchor="ctr" upright="1"/>
        <a:lstStyle/>
        <a:p>
          <a:pPr algn="l" rtl="0">
            <a:defRPr sz="1000"/>
          </a:pPr>
          <a:fld id="{C394427D-AAFB-4910-BFD4-26E4AF094E1D}" type="TxLink">
            <a:rPr lang="en-US" sz="1000" b="0" i="0" u="none" strike="noStrike">
              <a:solidFill>
                <a:srgbClr val="000000"/>
              </a:solidFill>
              <a:latin typeface="Arial"/>
              <a:cs typeface="Arial"/>
            </a:rPr>
            <a:pPr algn="l" rtl="0">
              <a:defRPr sz="1000"/>
            </a:pPr>
            <a:t>Rtc</a:t>
          </a:fld>
          <a:endParaRPr lang="en-US" sz="1100" b="0" i="0" strike="noStrike" baseline="-25000">
            <a:solidFill>
              <a:srgbClr val="000000"/>
            </a:solidFill>
            <a:latin typeface="Arial" pitchFamily="34" charset="0"/>
            <a:cs typeface="Arial" pitchFamily="34" charset="0"/>
          </a:endParaRPr>
        </a:p>
      </xdr:txBody>
    </xdr:sp>
    <xdr:clientData/>
  </xdr:twoCellAnchor>
  <xdr:twoCellAnchor>
    <xdr:from>
      <xdr:col>19</xdr:col>
      <xdr:colOff>294863</xdr:colOff>
      <xdr:row>20</xdr:row>
      <xdr:rowOff>24818</xdr:rowOff>
    </xdr:from>
    <xdr:to>
      <xdr:col>20</xdr:col>
      <xdr:colOff>200643</xdr:colOff>
      <xdr:row>21</xdr:row>
      <xdr:rowOff>57525</xdr:rowOff>
    </xdr:to>
    <xdr:sp macro="" textlink="'Variable Mgmt'!B233">
      <xdr:nvSpPr>
        <xdr:cNvPr id="44" name="Text Box 268"/>
        <xdr:cNvSpPr txBox="1">
          <a:spLocks noChangeArrowheads="1" noTextEdit="1"/>
        </xdr:cNvSpPr>
      </xdr:nvSpPr>
      <xdr:spPr bwMode="auto">
        <a:xfrm>
          <a:off x="12143963" y="4444418"/>
          <a:ext cx="515380" cy="232732"/>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1100" b="0" i="0" u="none" strike="noStrike">
              <a:solidFill>
                <a:srgbClr val="000000"/>
              </a:solidFill>
              <a:latin typeface="Arial"/>
              <a:cs typeface="Arial"/>
            </a:rPr>
            <a:pPr algn="l" rtl="0">
              <a:defRPr sz="1000"/>
            </a:pPr>
            <a:t>1820kΩ</a:t>
          </a:fld>
          <a:endParaRPr lang="el-GR" sz="1100" b="0"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9525</xdr:colOff>
          <xdr:row>33</xdr:row>
          <xdr:rowOff>0</xdr:rowOff>
        </xdr:from>
        <xdr:to>
          <xdr:col>5</xdr:col>
          <xdr:colOff>257175</xdr:colOff>
          <xdr:row>33</xdr:row>
          <xdr:rowOff>200025</xdr:rowOff>
        </xdr:to>
        <xdr:sp macro="" textlink="">
          <xdr:nvSpPr>
            <xdr:cNvPr id="673043" name="Drop Down 275" hidden="1">
              <a:extLst>
                <a:ext uri="{63B3BB69-23CF-44E3-9099-C40C66FF867C}">
                  <a14:compatExt spid="_x0000_s673043"/>
                </a:ext>
              </a:extLst>
            </xdr:cNvPr>
            <xdr:cNvSpPr/>
          </xdr:nvSpPr>
          <xdr:spPr>
            <a:xfrm>
              <a:off x="0" y="0"/>
              <a:ext cx="0" cy="0"/>
            </a:xfrm>
            <a:prstGeom prst="rect">
              <a:avLst/>
            </a:prstGeom>
          </xdr:spPr>
        </xdr:sp>
        <xdr:clientData/>
      </xdr:twoCellAnchor>
    </mc:Choice>
    <mc:Fallback/>
  </mc:AlternateContent>
  <xdr:twoCellAnchor>
    <xdr:from>
      <xdr:col>15</xdr:col>
      <xdr:colOff>355276</xdr:colOff>
      <xdr:row>9</xdr:row>
      <xdr:rowOff>29108</xdr:rowOff>
    </xdr:from>
    <xdr:to>
      <xdr:col>16</xdr:col>
      <xdr:colOff>81051</xdr:colOff>
      <xdr:row>10</xdr:row>
      <xdr:rowOff>59124</xdr:rowOff>
    </xdr:to>
    <xdr:sp macro="" textlink="'Variable Mgmt'!C236">
      <xdr:nvSpPr>
        <xdr:cNvPr id="48" name="Text Box 264"/>
        <xdr:cNvSpPr txBox="1">
          <a:spLocks noChangeArrowheads="1" noTextEdit="1"/>
        </xdr:cNvSpPr>
      </xdr:nvSpPr>
      <xdr:spPr bwMode="auto">
        <a:xfrm>
          <a:off x="9508801" y="2200808"/>
          <a:ext cx="402050" cy="230041"/>
        </a:xfrm>
        <a:prstGeom prst="rect">
          <a:avLst/>
        </a:prstGeom>
        <a:noFill/>
        <a:ln w="9525">
          <a:noFill/>
          <a:miter lim="800000"/>
          <a:headEnd/>
          <a:tailEnd/>
        </a:ln>
      </xdr:spPr>
      <xdr:txBody>
        <a:bodyPr vertOverflow="clip" wrap="square" lIns="27432" tIns="22860" rIns="0" bIns="0" anchor="ctr" upright="1"/>
        <a:lstStyle/>
        <a:p>
          <a:pPr algn="l" rtl="0">
            <a:defRPr sz="1000"/>
          </a:pPr>
          <a:fld id="{31380AD2-7EE8-49DF-ADF3-9022D781233D}" type="TxLink">
            <a:rPr lang="en-US" sz="1000" b="0" i="0" u="none" strike="noStrike" baseline="0">
              <a:solidFill>
                <a:srgbClr val="000000"/>
              </a:solidFill>
              <a:latin typeface="Arial"/>
              <a:cs typeface="Arial"/>
            </a:rPr>
            <a:pPr algn="l" rtl="0">
              <a:defRPr sz="1000"/>
            </a:pPr>
            <a:t>Ruv1</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15</xdr:col>
      <xdr:colOff>355276</xdr:colOff>
      <xdr:row>14</xdr:row>
      <xdr:rowOff>23943</xdr:rowOff>
    </xdr:from>
    <xdr:to>
      <xdr:col>16</xdr:col>
      <xdr:colOff>103031</xdr:colOff>
      <xdr:row>14</xdr:row>
      <xdr:rowOff>213188</xdr:rowOff>
    </xdr:to>
    <xdr:sp macro="" textlink="'Variable Mgmt'!D236">
      <xdr:nvSpPr>
        <xdr:cNvPr id="50" name="Text Box 264"/>
        <xdr:cNvSpPr txBox="1">
          <a:spLocks noChangeArrowheads="1" noTextEdit="1"/>
        </xdr:cNvSpPr>
      </xdr:nvSpPr>
      <xdr:spPr bwMode="auto">
        <a:xfrm>
          <a:off x="9508801" y="3195768"/>
          <a:ext cx="424030" cy="189245"/>
        </a:xfrm>
        <a:prstGeom prst="rect">
          <a:avLst/>
        </a:prstGeom>
        <a:noFill/>
        <a:ln w="9525">
          <a:noFill/>
          <a:miter lim="800000"/>
          <a:headEnd/>
          <a:tailEnd/>
        </a:ln>
      </xdr:spPr>
      <xdr:txBody>
        <a:bodyPr vertOverflow="clip" wrap="square" lIns="27432" tIns="22860" rIns="0" bIns="0" anchor="ctr" upright="1"/>
        <a:lstStyle/>
        <a:p>
          <a:pPr algn="l" rtl="0">
            <a:defRPr sz="1000"/>
          </a:pPr>
          <a:fld id="{873432C6-E14A-45C8-BEDA-C8EFF8641C5C}" type="TxLink">
            <a:rPr lang="en-US" sz="1000" b="0" i="0" u="none" strike="noStrike" baseline="0">
              <a:solidFill>
                <a:srgbClr val="000000"/>
              </a:solidFill>
              <a:latin typeface="Arial"/>
              <a:cs typeface="Arial"/>
            </a:rPr>
            <a:pPr algn="l" rtl="0">
              <a:defRPr sz="1000"/>
            </a:pPr>
            <a:t>Ruv2</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15</xdr:col>
      <xdr:colOff>305571</xdr:colOff>
      <xdr:row>19</xdr:row>
      <xdr:rowOff>153969</xdr:rowOff>
    </xdr:from>
    <xdr:to>
      <xdr:col>16</xdr:col>
      <xdr:colOff>73264</xdr:colOff>
      <xdr:row>21</xdr:row>
      <xdr:rowOff>95474</xdr:rowOff>
    </xdr:to>
    <xdr:sp macro="" textlink="'Variable Mgmt'!C246">
      <xdr:nvSpPr>
        <xdr:cNvPr id="49" name="Text Box 281"/>
        <xdr:cNvSpPr txBox="1">
          <a:spLocks noChangeArrowheads="1" noTextEdit="1"/>
        </xdr:cNvSpPr>
      </xdr:nvSpPr>
      <xdr:spPr bwMode="auto">
        <a:xfrm>
          <a:off x="9459096" y="4373544"/>
          <a:ext cx="443968" cy="341555"/>
        </a:xfrm>
        <a:prstGeom prst="rect">
          <a:avLst/>
        </a:prstGeom>
        <a:noFill/>
        <a:ln w="9525">
          <a:noFill/>
          <a:miter lim="800000"/>
          <a:headEnd/>
          <a:tailEnd/>
        </a:ln>
      </xdr:spPr>
      <xdr:txBody>
        <a:bodyPr vertOverflow="clip" wrap="square" lIns="27432" tIns="22860" rIns="0" bIns="0" anchor="ctr" upright="1"/>
        <a:lstStyle/>
        <a:p>
          <a:pPr algn="l" rtl="0">
            <a:defRPr sz="1000"/>
          </a:pPr>
          <a:fld id="{B81C36CF-66FD-4734-B04F-DAE82AF849A9}" type="TxLink">
            <a:rPr lang="en-US" sz="1100" b="0" i="0" u="none" strike="noStrike">
              <a:solidFill>
                <a:srgbClr val="000000"/>
              </a:solidFill>
              <a:latin typeface="Arial"/>
              <a:cs typeface="Arial"/>
            </a:rPr>
            <a:pPr algn="l" rtl="0">
              <a:defRPr sz="1000"/>
            </a:pPr>
            <a:t>Css</a:t>
          </a:fld>
          <a:endParaRPr lang="en-US" sz="1100" b="0" i="0" strike="noStrike">
            <a:solidFill>
              <a:srgbClr val="000000"/>
            </a:solidFill>
            <a:latin typeface="Arial" pitchFamily="34" charset="0"/>
            <a:cs typeface="Arial" pitchFamily="34" charset="0"/>
          </a:endParaRPr>
        </a:p>
      </xdr:txBody>
    </xdr:sp>
    <xdr:clientData/>
  </xdr:twoCellAnchor>
  <xdr:twoCellAnchor editAs="oneCell">
    <xdr:from>
      <xdr:col>0</xdr:col>
      <xdr:colOff>78143</xdr:colOff>
      <xdr:row>0</xdr:row>
      <xdr:rowOff>32845</xdr:rowOff>
    </xdr:from>
    <xdr:to>
      <xdr:col>3</xdr:col>
      <xdr:colOff>351439</xdr:colOff>
      <xdr:row>0</xdr:row>
      <xdr:rowOff>571501</xdr:rowOff>
    </xdr:to>
    <xdr:pic macro="[0]!OpenLM27403ProductFolder">
      <xdr:nvPicPr>
        <xdr:cNvPr id="4" name="Picture 3">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4896" b="8304"/>
        <a:stretch/>
      </xdr:blipFill>
      <xdr:spPr>
        <a:xfrm>
          <a:off x="78143" y="32845"/>
          <a:ext cx="2283071" cy="538656"/>
        </a:xfrm>
        <a:prstGeom prst="rect">
          <a:avLst/>
        </a:prstGeom>
      </xdr:spPr>
    </xdr:pic>
    <xdr:clientData/>
  </xdr:twoCellAnchor>
  <xdr:twoCellAnchor editAs="oneCell">
    <xdr:from>
      <xdr:col>21</xdr:col>
      <xdr:colOff>400381</xdr:colOff>
      <xdr:row>0</xdr:row>
      <xdr:rowOff>123825</xdr:rowOff>
    </xdr:from>
    <xdr:to>
      <xdr:col>23</xdr:col>
      <xdr:colOff>432054</xdr:colOff>
      <xdr:row>3</xdr:row>
      <xdr:rowOff>123825</xdr:rowOff>
    </xdr:to>
    <xdr:pic macro="[0]!OpenLM27403ProductFolder">
      <xdr:nvPicPr>
        <xdr:cNvPr id="53" name="Picture 52">
          <a:hlinkClick xmlns:r="http://schemas.openxmlformats.org/officeDocument/2006/relationships" r:id="rId5"/>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5478456" y="123825"/>
          <a:ext cx="1250873" cy="971550"/>
        </a:xfrm>
        <a:prstGeom prst="rect">
          <a:avLst/>
        </a:prstGeom>
      </xdr:spPr>
    </xdr:pic>
    <xdr:clientData/>
  </xdr:twoCellAnchor>
  <xdr:twoCellAnchor editAs="oneCell">
    <xdr:from>
      <xdr:col>23</xdr:col>
      <xdr:colOff>514350</xdr:colOff>
      <xdr:row>0</xdr:row>
      <xdr:rowOff>117830</xdr:rowOff>
    </xdr:from>
    <xdr:to>
      <xdr:col>25</xdr:col>
      <xdr:colOff>542193</xdr:colOff>
      <xdr:row>3</xdr:row>
      <xdr:rowOff>120958</xdr:rowOff>
    </xdr:to>
    <xdr:pic macro="[0]!OpenLM27403ProductFolder">
      <xdr:nvPicPr>
        <xdr:cNvPr id="54" name="Picture 53">
          <a:hlinkClick xmlns:r="http://schemas.openxmlformats.org/officeDocument/2006/relationships" r:id="rId7"/>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6787446" y="117830"/>
          <a:ext cx="1244112" cy="9702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9525</xdr:colOff>
          <xdr:row>11</xdr:row>
          <xdr:rowOff>0</xdr:rowOff>
        </xdr:from>
        <xdr:to>
          <xdr:col>12</xdr:col>
          <xdr:colOff>66675</xdr:colOff>
          <xdr:row>12</xdr:row>
          <xdr:rowOff>9525</xdr:rowOff>
        </xdr:to>
        <xdr:sp macro="" textlink="">
          <xdr:nvSpPr>
            <xdr:cNvPr id="697343" name="Drop Down 3071" hidden="1">
              <a:extLst>
                <a:ext uri="{63B3BB69-23CF-44E3-9099-C40C66FF867C}">
                  <a14:compatExt spid="_x0000_s697343"/>
                </a:ext>
              </a:extLst>
            </xdr:cNvPr>
            <xdr:cNvSpPr/>
          </xdr:nvSpPr>
          <xdr:spPr>
            <a:xfrm>
              <a:off x="0" y="0"/>
              <a:ext cx="0" cy="0"/>
            </a:xfrm>
            <a:prstGeom prst="rect">
              <a:avLst/>
            </a:prstGeom>
          </xdr:spPr>
        </xdr:sp>
        <xdr:clientData/>
      </xdr:twoCellAnchor>
    </mc:Choice>
    <mc:Fallback/>
  </mc:AlternateContent>
  <xdr:twoCellAnchor>
    <xdr:from>
      <xdr:col>19</xdr:col>
      <xdr:colOff>348376</xdr:colOff>
      <xdr:row>14</xdr:row>
      <xdr:rowOff>69974</xdr:rowOff>
    </xdr:from>
    <xdr:to>
      <xdr:col>20</xdr:col>
      <xdr:colOff>61616</xdr:colOff>
      <xdr:row>15</xdr:row>
      <xdr:rowOff>61702</xdr:rowOff>
    </xdr:to>
    <xdr:sp macro="" textlink="">
      <xdr:nvSpPr>
        <xdr:cNvPr id="57" name="Text Box 244"/>
        <xdr:cNvSpPr txBox="1">
          <a:spLocks noChangeArrowheads="1"/>
        </xdr:cNvSpPr>
      </xdr:nvSpPr>
      <xdr:spPr bwMode="auto">
        <a:xfrm>
          <a:off x="12197476" y="3241799"/>
          <a:ext cx="322840" cy="239378"/>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FB</a:t>
          </a:r>
        </a:p>
      </xdr:txBody>
    </xdr:sp>
    <xdr:clientData/>
  </xdr:twoCellAnchor>
  <xdr:twoCellAnchor>
    <xdr:from>
      <xdr:col>20</xdr:col>
      <xdr:colOff>374043</xdr:colOff>
      <xdr:row>19</xdr:row>
      <xdr:rowOff>1514</xdr:rowOff>
    </xdr:from>
    <xdr:to>
      <xdr:col>21</xdr:col>
      <xdr:colOff>148739</xdr:colOff>
      <xdr:row>20</xdr:row>
      <xdr:rowOff>34871</xdr:rowOff>
    </xdr:to>
    <xdr:sp macro="" textlink="">
      <xdr:nvSpPr>
        <xdr:cNvPr id="58" name="Text Box 244"/>
        <xdr:cNvSpPr txBox="1">
          <a:spLocks noChangeArrowheads="1"/>
        </xdr:cNvSpPr>
      </xdr:nvSpPr>
      <xdr:spPr bwMode="auto">
        <a:xfrm>
          <a:off x="12832743" y="4221089"/>
          <a:ext cx="384296" cy="233382"/>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SET</a:t>
          </a:r>
        </a:p>
      </xdr:txBody>
    </xdr:sp>
    <xdr:clientData/>
  </xdr:twoCellAnchor>
  <xdr:twoCellAnchor>
    <xdr:from>
      <xdr:col>18</xdr:col>
      <xdr:colOff>548052</xdr:colOff>
      <xdr:row>8</xdr:row>
      <xdr:rowOff>15972</xdr:rowOff>
    </xdr:from>
    <xdr:to>
      <xdr:col>19</xdr:col>
      <xdr:colOff>346548</xdr:colOff>
      <xdr:row>9</xdr:row>
      <xdr:rowOff>76319</xdr:rowOff>
    </xdr:to>
    <xdr:sp macro="" textlink="">
      <xdr:nvSpPr>
        <xdr:cNvPr id="60" name="Text Box 235"/>
        <xdr:cNvSpPr txBox="1">
          <a:spLocks noChangeArrowheads="1"/>
        </xdr:cNvSpPr>
      </xdr:nvSpPr>
      <xdr:spPr bwMode="auto">
        <a:xfrm>
          <a:off x="11730402" y="1987647"/>
          <a:ext cx="465246" cy="260372"/>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CLAMP</a:t>
          </a:r>
        </a:p>
      </xdr:txBody>
    </xdr:sp>
    <xdr:clientData/>
  </xdr:twoCellAnchor>
  <xdr:twoCellAnchor>
    <xdr:from>
      <xdr:col>19</xdr:col>
      <xdr:colOff>164558</xdr:colOff>
      <xdr:row>11</xdr:row>
      <xdr:rowOff>69250</xdr:rowOff>
    </xdr:from>
    <xdr:to>
      <xdr:col>19</xdr:col>
      <xdr:colOff>436580</xdr:colOff>
      <xdr:row>12</xdr:row>
      <xdr:rowOff>119548</xdr:rowOff>
    </xdr:to>
    <xdr:sp macro="" textlink="">
      <xdr:nvSpPr>
        <xdr:cNvPr id="61" name="Text Box 235"/>
        <xdr:cNvSpPr txBox="1">
          <a:spLocks noChangeArrowheads="1"/>
        </xdr:cNvSpPr>
      </xdr:nvSpPr>
      <xdr:spPr bwMode="auto">
        <a:xfrm>
          <a:off x="12013658" y="2641000"/>
          <a:ext cx="272022" cy="250323"/>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F</a:t>
          </a: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30</xdr:row>
          <xdr:rowOff>9525</xdr:rowOff>
        </xdr:from>
        <xdr:to>
          <xdr:col>5</xdr:col>
          <xdr:colOff>266700</xdr:colOff>
          <xdr:row>31</xdr:row>
          <xdr:rowOff>9525</xdr:rowOff>
        </xdr:to>
        <xdr:sp macro="" textlink="">
          <xdr:nvSpPr>
            <xdr:cNvPr id="714798" name="Drop Down 3118" hidden="1">
              <a:extLst>
                <a:ext uri="{63B3BB69-23CF-44E3-9099-C40C66FF867C}">
                  <a14:compatExt spid="_x0000_s714798"/>
                </a:ext>
              </a:extLst>
            </xdr:cNvPr>
            <xdr:cNvSpPr/>
          </xdr:nvSpPr>
          <xdr:spPr>
            <a:xfrm>
              <a:off x="0" y="0"/>
              <a:ext cx="0" cy="0"/>
            </a:xfrm>
            <a:prstGeom prst="rect">
              <a:avLst/>
            </a:prstGeom>
          </xdr:spPr>
        </xdr:sp>
        <xdr:clientData/>
      </xdr:twoCellAnchor>
    </mc:Choice>
    <mc:Fallback/>
  </mc:AlternateContent>
  <xdr:twoCellAnchor>
    <xdr:from>
      <xdr:col>20</xdr:col>
      <xdr:colOff>304800</xdr:colOff>
      <xdr:row>10</xdr:row>
      <xdr:rowOff>191738</xdr:rowOff>
    </xdr:from>
    <xdr:to>
      <xdr:col>21</xdr:col>
      <xdr:colOff>447675</xdr:colOff>
      <xdr:row>12</xdr:row>
      <xdr:rowOff>38100</xdr:rowOff>
    </xdr:to>
    <xdr:sp macro="" textlink="'Variable Mgmt'!B201">
      <xdr:nvSpPr>
        <xdr:cNvPr id="62" name="Text Box 265"/>
        <xdr:cNvSpPr txBox="1">
          <a:spLocks noChangeArrowheads="1" noTextEdit="1"/>
        </xdr:cNvSpPr>
      </xdr:nvSpPr>
      <xdr:spPr bwMode="auto">
        <a:xfrm>
          <a:off x="12763500" y="2563463"/>
          <a:ext cx="752475" cy="246412"/>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1000" b="0" i="0" u="none" strike="noStrike" baseline="0">
              <a:solidFill>
                <a:srgbClr val="000000"/>
              </a:solidFill>
              <a:latin typeface="Arial"/>
              <a:cs typeface="Arial"/>
            </a:rPr>
            <a:pPr algn="ctr" rtl="0">
              <a:defRPr sz="1000"/>
            </a:pPr>
            <a:t>1 : 1</a:t>
          </a:fld>
          <a:endParaRPr lang="el-GR" sz="1200" b="0" i="0" u="none" strike="noStrike" baseline="0">
            <a:solidFill>
              <a:srgbClr val="000000"/>
            </a:solidFill>
            <a:latin typeface="Arial" pitchFamily="34" charset="0"/>
            <a:cs typeface="Arial" pitchFamily="34" charset="0"/>
          </a:endParaRPr>
        </a:p>
      </xdr:txBody>
    </xdr:sp>
    <xdr:clientData/>
  </xdr:twoCellAnchor>
  <xdr:twoCellAnchor>
    <xdr:from>
      <xdr:col>25</xdr:col>
      <xdr:colOff>571500</xdr:colOff>
      <xdr:row>27</xdr:row>
      <xdr:rowOff>113959</xdr:rowOff>
    </xdr:from>
    <xdr:to>
      <xdr:col>25</xdr:col>
      <xdr:colOff>1049263</xdr:colOff>
      <xdr:row>29</xdr:row>
      <xdr:rowOff>12359</xdr:rowOff>
    </xdr:to>
    <xdr:sp macro="" textlink="'Variable Mgmt'!$B$254">
      <xdr:nvSpPr>
        <xdr:cNvPr id="56" name="Text Box 24"/>
        <xdr:cNvSpPr txBox="1">
          <a:spLocks noChangeArrowheads="1" noTextEdit="1"/>
        </xdr:cNvSpPr>
      </xdr:nvSpPr>
      <xdr:spPr bwMode="auto">
        <a:xfrm>
          <a:off x="16078200" y="5962309"/>
          <a:ext cx="477763" cy="279400"/>
        </a:xfrm>
        <a:prstGeom prst="rect">
          <a:avLst/>
        </a:prstGeom>
        <a:noFill/>
        <a:ln w="9525">
          <a:noFill/>
          <a:miter lim="800000"/>
          <a:headEnd/>
          <a:tailEnd/>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fld id="{1F0AFB1C-0795-4024-9821-D34D86340D40}" type="TxLink">
            <a:rPr lang="en-US" sz="1000" b="0" i="0" u="none" strike="noStrike" baseline="0">
              <a:solidFill>
                <a:srgbClr val="000000"/>
              </a:solidFill>
              <a:latin typeface="Arial"/>
              <a:cs typeface="Arial"/>
            </a:rPr>
            <a:pPr algn="l" rtl="0">
              <a:defRPr sz="1000"/>
            </a:pPr>
            <a:t>92.5%</a:t>
          </a:fld>
          <a:endParaRPr lang="en-US" sz="1000" b="1" i="0" u="none" strike="noStrike" baseline="0">
            <a:solidFill>
              <a:srgbClr val="000000"/>
            </a:solidFill>
            <a:latin typeface="Arial" pitchFamily="34" charset="0"/>
            <a:cs typeface="Arial" pitchFamily="34" charset="0"/>
          </a:endParaRPr>
        </a:p>
      </xdr:txBody>
    </xdr:sp>
    <xdr:clientData/>
  </xdr:twoCellAnchor>
  <xdr:twoCellAnchor>
    <xdr:from>
      <xdr:col>24</xdr:col>
      <xdr:colOff>38389</xdr:colOff>
      <xdr:row>13</xdr:row>
      <xdr:rowOff>88799</xdr:rowOff>
    </xdr:from>
    <xdr:to>
      <xdr:col>25</xdr:col>
      <xdr:colOff>93822</xdr:colOff>
      <xdr:row>14</xdr:row>
      <xdr:rowOff>236764</xdr:rowOff>
    </xdr:to>
    <xdr:sp macro="" textlink="'Variable Mgmt'!B209">
      <xdr:nvSpPr>
        <xdr:cNvPr id="42" name="Text Box 285"/>
        <xdr:cNvSpPr txBox="1">
          <a:spLocks noChangeArrowheads="1" noTextEdit="1"/>
        </xdr:cNvSpPr>
      </xdr:nvSpPr>
      <xdr:spPr bwMode="auto">
        <a:xfrm>
          <a:off x="14935489" y="3060599"/>
          <a:ext cx="665033" cy="347990"/>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23</xdr:col>
      <xdr:colOff>418167</xdr:colOff>
      <xdr:row>14</xdr:row>
      <xdr:rowOff>147867</xdr:rowOff>
    </xdr:from>
    <xdr:to>
      <xdr:col>24</xdr:col>
      <xdr:colOff>561280</xdr:colOff>
      <xdr:row>15</xdr:row>
      <xdr:rowOff>199064</xdr:rowOff>
    </xdr:to>
    <xdr:sp macro="" textlink="'Variable Mgmt'!B264">
      <xdr:nvSpPr>
        <xdr:cNvPr id="46" name="Text Box 286"/>
        <xdr:cNvSpPr txBox="1">
          <a:spLocks noChangeArrowheads="1" noTextEdit="1"/>
        </xdr:cNvSpPr>
      </xdr:nvSpPr>
      <xdr:spPr bwMode="auto">
        <a:xfrm>
          <a:off x="14705667" y="3319692"/>
          <a:ext cx="752713" cy="298847"/>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350" b="1" i="0" u="none" strike="noStrike">
              <a:solidFill>
                <a:srgbClr val="FF0000"/>
              </a:solidFill>
              <a:latin typeface="Arial"/>
              <a:cs typeface="Arial"/>
            </a:rPr>
            <a:pPr algn="ctr" rtl="0">
              <a:defRPr sz="1000"/>
            </a:pPr>
            <a:t> </a:t>
          </a:fld>
          <a:endParaRPr lang="en-US" sz="1350" b="1" i="0" strike="noStrike">
            <a:solidFill>
              <a:srgbClr val="FF0000"/>
            </a:solidFill>
            <a:latin typeface="Arial" pitchFamily="34" charset="0"/>
            <a:cs typeface="Arial" pitchFamily="34" charset="0"/>
          </a:endParaRPr>
        </a:p>
      </xdr:txBody>
    </xdr:sp>
    <xdr:clientData/>
  </xdr:twoCellAnchor>
  <xdr:twoCellAnchor>
    <xdr:from>
      <xdr:col>24</xdr:col>
      <xdr:colOff>289</xdr:colOff>
      <xdr:row>15</xdr:row>
      <xdr:rowOff>128260</xdr:rowOff>
    </xdr:from>
    <xdr:to>
      <xdr:col>25</xdr:col>
      <xdr:colOff>55722</xdr:colOff>
      <xdr:row>17</xdr:row>
      <xdr:rowOff>74839</xdr:rowOff>
    </xdr:to>
    <xdr:sp macro="" textlink="'Variable Mgmt'!B210">
      <xdr:nvSpPr>
        <xdr:cNvPr id="47" name="Text Box 285"/>
        <xdr:cNvSpPr txBox="1">
          <a:spLocks noChangeArrowheads="1" noTextEdit="1"/>
        </xdr:cNvSpPr>
      </xdr:nvSpPr>
      <xdr:spPr bwMode="auto">
        <a:xfrm>
          <a:off x="14897389" y="3547735"/>
          <a:ext cx="665033" cy="346629"/>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23</xdr:col>
      <xdr:colOff>437217</xdr:colOff>
      <xdr:row>16</xdr:row>
      <xdr:rowOff>190049</xdr:rowOff>
    </xdr:from>
    <xdr:to>
      <xdr:col>24</xdr:col>
      <xdr:colOff>580330</xdr:colOff>
      <xdr:row>18</xdr:row>
      <xdr:rowOff>90207</xdr:rowOff>
    </xdr:to>
    <xdr:sp macro="" textlink="'Variable Mgmt'!B265">
      <xdr:nvSpPr>
        <xdr:cNvPr id="51" name="Text Box 286"/>
        <xdr:cNvSpPr txBox="1">
          <a:spLocks noChangeArrowheads="1" noTextEdit="1"/>
        </xdr:cNvSpPr>
      </xdr:nvSpPr>
      <xdr:spPr bwMode="auto">
        <a:xfrm>
          <a:off x="14724717" y="3809549"/>
          <a:ext cx="752713" cy="300208"/>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350" b="1" i="0" u="none" strike="noStrike">
              <a:solidFill>
                <a:srgbClr val="FF0000"/>
              </a:solidFill>
              <a:latin typeface="Arial"/>
              <a:cs typeface="Arial"/>
            </a:rPr>
            <a:pPr algn="ctr" rtl="0">
              <a:defRPr sz="1000"/>
            </a:pPr>
            <a:t> </a:t>
          </a:fld>
          <a:endParaRPr lang="en-US" sz="1350" b="1" i="0" strike="noStrike">
            <a:solidFill>
              <a:srgbClr val="FF0000"/>
            </a:solidFill>
            <a:latin typeface="Arial" pitchFamily="34" charset="0"/>
            <a:cs typeface="Arial" pitchFamily="34" charset="0"/>
          </a:endParaRPr>
        </a:p>
      </xdr:txBody>
    </xdr:sp>
    <xdr:clientData/>
  </xdr:twoCellAnchor>
  <xdr:twoCellAnchor>
    <xdr:from>
      <xdr:col>23</xdr:col>
      <xdr:colOff>132557</xdr:colOff>
      <xdr:row>14</xdr:row>
      <xdr:rowOff>179147</xdr:rowOff>
    </xdr:from>
    <xdr:to>
      <xdr:col>24</xdr:col>
      <xdr:colOff>16035</xdr:colOff>
      <xdr:row>15</xdr:row>
      <xdr:rowOff>105137</xdr:rowOff>
    </xdr:to>
    <xdr:sp macro="" textlink="'Variable Mgmt'!D213">
      <xdr:nvSpPr>
        <xdr:cNvPr id="55" name="Text Box 267"/>
        <xdr:cNvSpPr txBox="1">
          <a:spLocks noChangeArrowheads="1" noTextEdit="1"/>
        </xdr:cNvSpPr>
      </xdr:nvSpPr>
      <xdr:spPr bwMode="auto">
        <a:xfrm>
          <a:off x="14420057" y="3350972"/>
          <a:ext cx="493078" cy="173640"/>
        </a:xfrm>
        <a:prstGeom prst="rect">
          <a:avLst/>
        </a:prstGeom>
        <a:noFill/>
        <a:ln w="9525">
          <a:noFill/>
          <a:miter lim="800000"/>
          <a:headEnd/>
          <a:tailEnd/>
        </a:ln>
      </xdr:spPr>
      <xdr:txBody>
        <a:bodyPr vertOverflow="clip" wrap="square" lIns="27432" tIns="22860" rIns="0" bIns="0" anchor="ctr" upright="1"/>
        <a:lstStyle/>
        <a:p>
          <a:pPr algn="l" rtl="0">
            <a:defRPr sz="1000"/>
          </a:pPr>
          <a:fld id="{2B13305E-FBF9-43A5-B29E-67B7B248F534}" type="TxLink">
            <a:rPr lang="en-US" sz="1000" b="0" i="0" u="none" strike="noStrike" baseline="0">
              <a:solidFill>
                <a:srgbClr val="000000"/>
              </a:solidFill>
              <a:latin typeface="Arial"/>
              <a:cs typeface="Arial"/>
            </a:rPr>
            <a:pPr algn="l" rtl="0">
              <a:defRPr sz="1000"/>
            </a:pPr>
            <a:t> </a:t>
          </a:fld>
          <a:endParaRPr lang="en-US" sz="1100" b="0" i="0" u="none" strike="noStrike" baseline="0">
            <a:solidFill>
              <a:srgbClr val="000000"/>
            </a:solidFill>
            <a:latin typeface="Arial" pitchFamily="34" charset="0"/>
            <a:cs typeface="Arial" pitchFamily="34" charset="0"/>
          </a:endParaRPr>
        </a:p>
      </xdr:txBody>
    </xdr:sp>
    <xdr:clientData/>
  </xdr:twoCellAnchor>
  <xdr:twoCellAnchor>
    <xdr:from>
      <xdr:col>23</xdr:col>
      <xdr:colOff>132557</xdr:colOff>
      <xdr:row>16</xdr:row>
      <xdr:rowOff>141047</xdr:rowOff>
    </xdr:from>
    <xdr:to>
      <xdr:col>24</xdr:col>
      <xdr:colOff>16035</xdr:colOff>
      <xdr:row>17</xdr:row>
      <xdr:rowOff>124187</xdr:rowOff>
    </xdr:to>
    <xdr:sp macro="" textlink="'Variable Mgmt'!C213">
      <xdr:nvSpPr>
        <xdr:cNvPr id="67" name="Text Box 267"/>
        <xdr:cNvSpPr txBox="1">
          <a:spLocks noChangeArrowheads="1" noTextEdit="1"/>
        </xdr:cNvSpPr>
      </xdr:nvSpPr>
      <xdr:spPr bwMode="auto">
        <a:xfrm>
          <a:off x="14420057" y="3760547"/>
          <a:ext cx="493078" cy="183165"/>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1100" b="0" i="0" u="none" strike="noStrike" baseline="0">
              <a:solidFill>
                <a:srgbClr val="000000"/>
              </a:solidFill>
              <a:latin typeface="Arial"/>
              <a:cs typeface="Arial"/>
            </a:rPr>
            <a:pPr algn="l" rtl="0">
              <a:defRPr sz="1000"/>
            </a:pPr>
            <a:t> </a:t>
          </a:fld>
          <a:endParaRPr lang="en-US" sz="1400" b="0" i="0" u="none" strike="noStrike" baseline="0">
            <a:solidFill>
              <a:srgbClr val="000000"/>
            </a:solidFill>
            <a:latin typeface="Arial" pitchFamily="34" charset="0"/>
            <a:cs typeface="Arial" pitchFamily="34" charset="0"/>
          </a:endParaRPr>
        </a:p>
      </xdr:txBody>
    </xdr:sp>
    <xdr:clientData/>
  </xdr:twoCellAnchor>
  <xdr:twoCellAnchor>
    <xdr:from>
      <xdr:col>20</xdr:col>
      <xdr:colOff>461791</xdr:colOff>
      <xdr:row>5</xdr:row>
      <xdr:rowOff>140393</xdr:rowOff>
    </xdr:from>
    <xdr:to>
      <xdr:col>21</xdr:col>
      <xdr:colOff>172310</xdr:colOff>
      <xdr:row>7</xdr:row>
      <xdr:rowOff>7039</xdr:rowOff>
    </xdr:to>
    <xdr:sp macro="" textlink="">
      <xdr:nvSpPr>
        <xdr:cNvPr id="52" name="Text Box 244"/>
        <xdr:cNvSpPr txBox="1">
          <a:spLocks noChangeArrowheads="1"/>
        </xdr:cNvSpPr>
      </xdr:nvSpPr>
      <xdr:spPr bwMode="auto">
        <a:xfrm>
          <a:off x="12920491" y="1531043"/>
          <a:ext cx="320119" cy="247646"/>
        </a:xfrm>
        <a:prstGeom prst="rect">
          <a:avLst/>
        </a:prstGeom>
        <a:noFill/>
        <a:ln w="9525">
          <a:noFill/>
          <a:miter lim="800000"/>
          <a:headEnd/>
          <a:tailEnd/>
        </a:ln>
      </xdr:spPr>
      <xdr:txBody>
        <a:bodyPr vertOverflow="clip" wrap="square" lIns="27432" tIns="27432" rIns="0" bIns="0" anchor="t" upright="1"/>
        <a:lstStyle/>
        <a:p>
          <a:pPr algn="ctr" rtl="0">
            <a:defRPr sz="1000"/>
          </a:pPr>
          <a:r>
            <a:rPr lang="en-US" sz="1100" b="0" i="0" strike="noStrike">
              <a:solidFill>
                <a:srgbClr val="000000"/>
              </a:solidFill>
              <a:latin typeface="Arial" pitchFamily="34" charset="0"/>
              <a:cs typeface="Arial" pitchFamily="34" charset="0"/>
            </a:rPr>
            <a:t>T</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7</xdr:row>
          <xdr:rowOff>190500</xdr:rowOff>
        </xdr:from>
        <xdr:to>
          <xdr:col>5</xdr:col>
          <xdr:colOff>76200</xdr:colOff>
          <xdr:row>8</xdr:row>
          <xdr:rowOff>190500</xdr:rowOff>
        </xdr:to>
        <xdr:sp macro="" textlink="">
          <xdr:nvSpPr>
            <xdr:cNvPr id="715085" name="Drop Down 3405" hidden="1">
              <a:extLst>
                <a:ext uri="{63B3BB69-23CF-44E3-9099-C40C66FF867C}">
                  <a14:compatExt spid="_x0000_s71508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24</xdr:row>
          <xdr:rowOff>247649</xdr:rowOff>
        </xdr:from>
        <xdr:to>
          <xdr:col>17</xdr:col>
          <xdr:colOff>141358</xdr:colOff>
          <xdr:row>45</xdr:row>
          <xdr:rowOff>104774</xdr:rowOff>
        </xdr:to>
        <xdr:pic>
          <xdr:nvPicPr>
            <xdr:cNvPr id="65" name="Picture 8888"/>
            <xdr:cNvPicPr>
              <a:picLocks noChangeAspect="1" noChangeArrowheads="1"/>
              <a:extLst>
                <a:ext uri="{84589F7E-364E-4C9E-8A38-B11213B215E9}">
                  <a14:cameraTool cellRange="PICTURE2" spid="_x0000_s736585"/>
                </a:ext>
              </a:extLst>
            </xdr:cNvPicPr>
          </xdr:nvPicPr>
          <xdr:blipFill>
            <a:blip xmlns:r="http://schemas.openxmlformats.org/officeDocument/2006/relationships" r:embed="rId9"/>
            <a:srcRect/>
            <a:stretch>
              <a:fillRect/>
            </a:stretch>
          </xdr:blipFill>
          <xdr:spPr bwMode="auto">
            <a:xfrm>
              <a:off x="3962400" y="5448299"/>
              <a:ext cx="6685033" cy="4124325"/>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17</xdr:col>
      <xdr:colOff>38100</xdr:colOff>
      <xdr:row>14</xdr:row>
      <xdr:rowOff>152400</xdr:rowOff>
    </xdr:from>
    <xdr:to>
      <xdr:col>18</xdr:col>
      <xdr:colOff>333375</xdr:colOff>
      <xdr:row>16</xdr:row>
      <xdr:rowOff>0</xdr:rowOff>
    </xdr:to>
    <xdr:sp macro="" textlink="">
      <xdr:nvSpPr>
        <xdr:cNvPr id="2" name="TextBox 1"/>
        <xdr:cNvSpPr txBox="1"/>
      </xdr:nvSpPr>
      <xdr:spPr bwMode="auto">
        <a:xfrm>
          <a:off x="10544175" y="3324225"/>
          <a:ext cx="971550" cy="295275"/>
        </a:xfrm>
        <a:prstGeom prst="rect">
          <a:avLst/>
        </a:prstGeom>
        <a:solidFill>
          <a:srgbClr val="CCFFFF"/>
        </a:solidFill>
        <a:ln w="9525">
          <a:noFill/>
          <a:miter lim="800000"/>
          <a:headEnd/>
          <a:tailEnd/>
        </a:ln>
      </xdr:spPr>
      <xdr:txBody>
        <a:bodyPr vertOverflow="clip" horzOverflow="clip" wrap="square" lIns="27432" tIns="27432" rIns="0" bIns="0" rtlCol="0" anchor="t" upright="1"/>
        <a:lstStyle/>
        <a:p>
          <a:pPr algn="ctr" rtl="0"/>
          <a:r>
            <a:rPr lang="en-US" sz="1400" b="1" i="0" strike="noStrike">
              <a:solidFill>
                <a:srgbClr val="FF0000"/>
              </a:solidFill>
              <a:latin typeface="Arial" panose="020B0604020202020204" pitchFamily="34" charset="0"/>
              <a:cs typeface="Arial" panose="020B0604020202020204" pitchFamily="34" charset="0"/>
            </a:rPr>
            <a:t>LM25180</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56">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87.5%</a:t>
          </a:fld>
          <a:endParaRPr lang="en-US" sz="1100" b="1" i="0" u="none" strike="noStrike" baseline="0">
            <a:solidFill>
              <a:srgbClr val="000000"/>
            </a:solidFill>
            <a:latin typeface="Arial" pitchFamily="34" charset="0"/>
            <a:cs typeface="Arial" pitchFamily="34" charset="0"/>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3</xdr:col>
      <xdr:colOff>38100</xdr:colOff>
      <xdr:row>6</xdr:row>
      <xdr:rowOff>819150</xdr:rowOff>
    </xdr:from>
    <xdr:to>
      <xdr:col>3</xdr:col>
      <xdr:colOff>561974</xdr:colOff>
      <xdr:row>6</xdr:row>
      <xdr:rowOff>1019175</xdr:rowOff>
    </xdr:to>
    <xdr:sp macro="" textlink="'Variable Mgmt'!$B$254">
      <xdr:nvSpPr>
        <xdr:cNvPr id="5" name="Text Box 24"/>
        <xdr:cNvSpPr txBox="1">
          <a:spLocks noChangeArrowheads="1" noTextEdit="1"/>
        </xdr:cNvSpPr>
      </xdr:nvSpPr>
      <xdr:spPr bwMode="auto">
        <a:xfrm>
          <a:off x="9686925" y="6934200"/>
          <a:ext cx="523874" cy="200025"/>
        </a:xfrm>
        <a:prstGeom prst="rect">
          <a:avLst/>
        </a:prstGeom>
        <a:solidFill>
          <a:schemeClr val="bg1"/>
        </a:solid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92.5%</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3</xdr:col>
      <xdr:colOff>19050</xdr:colOff>
      <xdr:row>4</xdr:row>
      <xdr:rowOff>704850</xdr:rowOff>
    </xdr:from>
    <xdr:to>
      <xdr:col>3</xdr:col>
      <xdr:colOff>542924</xdr:colOff>
      <xdr:row>4</xdr:row>
      <xdr:rowOff>904875</xdr:rowOff>
    </xdr:to>
    <xdr:sp macro="" textlink="'Variable Mgmt'!$B$254">
      <xdr:nvSpPr>
        <xdr:cNvPr id="6" name="Text Box 24"/>
        <xdr:cNvSpPr txBox="1">
          <a:spLocks noChangeArrowheads="1" noTextEdit="1"/>
        </xdr:cNvSpPr>
      </xdr:nvSpPr>
      <xdr:spPr bwMode="auto">
        <a:xfrm>
          <a:off x="9667875" y="1409700"/>
          <a:ext cx="523874" cy="200025"/>
        </a:xfrm>
        <a:prstGeom prst="rect">
          <a:avLst/>
        </a:prstGeom>
        <a:no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92.5%</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1</xdr:col>
      <xdr:colOff>1</xdr:colOff>
      <xdr:row>4</xdr:row>
      <xdr:rowOff>0</xdr:rowOff>
    </xdr:from>
    <xdr:to>
      <xdr:col>1</xdr:col>
      <xdr:colOff>8275321</xdr:colOff>
      <xdr:row>4</xdr:row>
      <xdr:rowOff>5029200</xdr:rowOff>
    </xdr:to>
    <xdr:graphicFrame macro="">
      <xdr:nvGraphicFramePr>
        <xdr:cNvPr id="8"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xdr:row>
      <xdr:rowOff>0</xdr:rowOff>
    </xdr:from>
    <xdr:to>
      <xdr:col>1</xdr:col>
      <xdr:colOff>8275320</xdr:colOff>
      <xdr:row>6</xdr:row>
      <xdr:rowOff>5029200</xdr:rowOff>
    </xdr:to>
    <xdr:graphicFrame macro="">
      <xdr:nvGraphicFramePr>
        <xdr:cNvPr id="7"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16</xdr:col>
          <xdr:colOff>18166</xdr:colOff>
          <xdr:row>4</xdr:row>
          <xdr:rowOff>4138092</xdr:rowOff>
        </xdr:to>
        <xdr:pic>
          <xdr:nvPicPr>
            <xdr:cNvPr id="9" name="Picture 8888"/>
            <xdr:cNvPicPr>
              <a:picLocks noChangeAspect="1" noChangeArrowheads="1"/>
              <a:extLst>
                <a:ext uri="{84589F7E-364E-4C9E-8A38-B11213B215E9}">
                  <a14:cameraTool cellRange="PICTURE3" spid="_x0000_s729395"/>
                </a:ext>
              </a:extLst>
            </xdr:cNvPicPr>
          </xdr:nvPicPr>
          <xdr:blipFill>
            <a:blip xmlns:r="http://schemas.openxmlformats.org/officeDocument/2006/relationships" r:embed="rId3"/>
            <a:srcRect/>
            <a:stretch>
              <a:fillRect/>
            </a:stretch>
          </xdr:blipFill>
          <xdr:spPr bwMode="auto">
            <a:xfrm>
              <a:off x="10868025" y="704850"/>
              <a:ext cx="6723766" cy="4138092"/>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18</xdr:col>
          <xdr:colOff>504825</xdr:colOff>
          <xdr:row>5</xdr:row>
          <xdr:rowOff>0</xdr:rowOff>
        </xdr:to>
        <xdr:pic>
          <xdr:nvPicPr>
            <xdr:cNvPr id="6" name="Picture 8888"/>
            <xdr:cNvPicPr>
              <a:picLocks noChangeAspect="1" noChangeArrowheads="1"/>
              <a:extLst>
                <a:ext uri="{84589F7E-364E-4C9E-8A38-B11213B215E9}">
                  <a14:cameraTool cellRange="PICTURE2" spid="_x0000_s733490"/>
                </a:ext>
              </a:extLst>
            </xdr:cNvPicPr>
          </xdr:nvPicPr>
          <xdr:blipFill>
            <a:blip xmlns:r="http://schemas.openxmlformats.org/officeDocument/2006/relationships" r:embed="rId1"/>
            <a:srcRect/>
            <a:stretch>
              <a:fillRect/>
            </a:stretch>
          </xdr:blipFill>
          <xdr:spPr bwMode="auto">
            <a:xfrm>
              <a:off x="10868025" y="704850"/>
              <a:ext cx="8429625" cy="5200650"/>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xdr:col>
      <xdr:colOff>1</xdr:colOff>
      <xdr:row>4</xdr:row>
      <xdr:rowOff>0</xdr:rowOff>
    </xdr:from>
    <xdr:to>
      <xdr:col>1</xdr:col>
      <xdr:colOff>8275321</xdr:colOff>
      <xdr:row>4</xdr:row>
      <xdr:rowOff>5029200</xdr:rowOff>
    </xdr:to>
    <xdr:graphicFrame macro="">
      <xdr:nvGraphicFramePr>
        <xdr:cNvPr id="7" name="Chart 25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xdr:colOff>
      <xdr:row>6</xdr:row>
      <xdr:rowOff>19049</xdr:rowOff>
    </xdr:from>
    <xdr:to>
      <xdr:col>1</xdr:col>
      <xdr:colOff>8277225</xdr:colOff>
      <xdr:row>6</xdr:row>
      <xdr:rowOff>5048249</xdr:rowOff>
    </xdr:to>
    <xdr:graphicFrame macro="">
      <xdr:nvGraphicFramePr>
        <xdr:cNvPr id="8" name="Chart 25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752475</xdr:colOff>
      <xdr:row>30</xdr:row>
      <xdr:rowOff>85725</xdr:rowOff>
    </xdr:from>
    <xdr:to>
      <xdr:col>15</xdr:col>
      <xdr:colOff>1200150</xdr:colOff>
      <xdr:row>31</xdr:row>
      <xdr:rowOff>133350</xdr:rowOff>
    </xdr:to>
    <xdr:sp macro="" textlink="">
      <xdr:nvSpPr>
        <xdr:cNvPr id="3" name="Text Box 2"/>
        <xdr:cNvSpPr txBox="1">
          <a:spLocks noChangeArrowheads="1"/>
        </xdr:cNvSpPr>
      </xdr:nvSpPr>
      <xdr:spPr bwMode="auto">
        <a:xfrm>
          <a:off x="16906875" y="139731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V</a:t>
          </a:r>
          <a:r>
            <a:rPr lang="en-US" sz="1000" b="1" i="0" strike="noStrike" baseline="-25000">
              <a:solidFill>
                <a:srgbClr val="0000FF"/>
              </a:solidFill>
              <a:latin typeface="Arial"/>
              <a:cs typeface="Arial"/>
            </a:rPr>
            <a:t>OUT</a:t>
          </a:r>
        </a:p>
      </xdr:txBody>
    </xdr:sp>
    <xdr:clientData/>
  </xdr:twoCellAnchor>
  <xdr:twoCellAnchor>
    <xdr:from>
      <xdr:col>15</xdr:col>
      <xdr:colOff>752475</xdr:colOff>
      <xdr:row>31</xdr:row>
      <xdr:rowOff>104775</xdr:rowOff>
    </xdr:from>
    <xdr:to>
      <xdr:col>15</xdr:col>
      <xdr:colOff>1181100</xdr:colOff>
      <xdr:row>32</xdr:row>
      <xdr:rowOff>152400</xdr:rowOff>
    </xdr:to>
    <xdr:sp macro="" textlink="">
      <xdr:nvSpPr>
        <xdr:cNvPr id="4" name="Text Box 3"/>
        <xdr:cNvSpPr txBox="1">
          <a:spLocks noChangeArrowheads="1" noTextEdit="1"/>
        </xdr:cNvSpPr>
      </xdr:nvSpPr>
      <xdr:spPr bwMode="auto">
        <a:xfrm>
          <a:off x="16906875" y="141636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fld id="{0F8B8801-C5EA-4FBD-95F5-162EB7ADACC8}" type="TxLink">
            <a:rPr lang="en-US" sz="1000" b="1" i="0" u="none" strike="noStrike">
              <a:solidFill>
                <a:srgbClr val="0000FF"/>
              </a:solidFill>
              <a:latin typeface="Arial"/>
              <a:cs typeface="Arial"/>
            </a:rPr>
            <a:pPr algn="l" rtl="0">
              <a:defRPr sz="1000"/>
            </a:pPr>
            <a:t>1.2V</a:t>
          </a:fld>
          <a:endParaRPr lang="en-US" sz="1000" b="1" i="0" strike="noStrike">
            <a:solidFill>
              <a:srgbClr val="0000FF"/>
            </a:solidFill>
            <a:latin typeface="Arial"/>
            <a:cs typeface="Arial"/>
          </a:endParaRPr>
        </a:p>
      </xdr:txBody>
    </xdr:sp>
    <xdr:clientData/>
  </xdr:twoCellAnchor>
  <xdr:twoCellAnchor>
    <xdr:from>
      <xdr:col>16</xdr:col>
      <xdr:colOff>0</xdr:colOff>
      <xdr:row>34</xdr:row>
      <xdr:rowOff>142875</xdr:rowOff>
    </xdr:from>
    <xdr:to>
      <xdr:col>16</xdr:col>
      <xdr:colOff>0</xdr:colOff>
      <xdr:row>36</xdr:row>
      <xdr:rowOff>152400</xdr:rowOff>
    </xdr:to>
    <xdr:grpSp>
      <xdr:nvGrpSpPr>
        <xdr:cNvPr id="5" name="Group 25"/>
        <xdr:cNvGrpSpPr>
          <a:grpSpLocks/>
        </xdr:cNvGrpSpPr>
      </xdr:nvGrpSpPr>
      <xdr:grpSpPr bwMode="auto">
        <a:xfrm>
          <a:off x="33108900" y="65131950"/>
          <a:ext cx="0" cy="4333875"/>
          <a:chOff x="953" y="747"/>
          <a:chExt cx="76" cy="41"/>
        </a:xfrm>
      </xdr:grpSpPr>
      <xdr:sp macro="" textlink="">
        <xdr:nvSpPr>
          <xdr:cNvPr id="6" name="Text Box 26"/>
          <xdr:cNvSpPr txBox="1">
            <a:spLocks noChangeArrowheads="1"/>
          </xdr:cNvSpPr>
        </xdr:nvSpPr>
        <xdr:spPr bwMode="auto">
          <a:xfrm>
            <a:off x="16906875" y="-6462072205698"/>
            <a:ext cx="0" cy="2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C</a:t>
            </a:r>
            <a:r>
              <a:rPr lang="en-US" sz="1000" b="1" i="0" strike="noStrike" baseline="-25000">
                <a:solidFill>
                  <a:srgbClr val="0000FF"/>
                </a:solidFill>
                <a:latin typeface="Arial"/>
                <a:cs typeface="Arial"/>
              </a:rPr>
              <a:t>OUT</a:t>
            </a:r>
          </a:p>
        </xdr:txBody>
      </xdr:sp>
      <xdr:sp macro="" textlink="">
        <xdr:nvSpPr>
          <xdr:cNvPr id="7" name="Text Box 27"/>
          <xdr:cNvSpPr txBox="1">
            <a:spLocks noChangeArrowheads="1" noTextEdit="1"/>
          </xdr:cNvSpPr>
        </xdr:nvSpPr>
        <xdr:spPr bwMode="auto">
          <a:xfrm>
            <a:off x="16906875" y="-11225863852848"/>
            <a:ext cx="0" cy="21"/>
          </a:xfrm>
          <a:prstGeom prst="rect">
            <a:avLst/>
          </a:prstGeom>
          <a:noFill/>
          <a:ln w="9525">
            <a:noFill/>
            <a:miter lim="800000"/>
            <a:headEnd/>
            <a:tailEnd/>
          </a:ln>
        </xdr:spPr>
        <xdr:txBody>
          <a:bodyPr vertOverflow="clip" wrap="square" lIns="27432" tIns="22860" rIns="0" bIns="0" anchor="t" upright="1"/>
          <a:lstStyle/>
          <a:p>
            <a:pPr algn="l" rtl="0">
              <a:defRPr sz="1000"/>
            </a:pPr>
            <a:fld id="{FA2B5858-D1A0-4A0D-80A7-2946C710A8EC}" type="TxLink">
              <a:rPr lang="en-US" sz="1000" b="1" i="0" u="none" strike="noStrike">
                <a:solidFill>
                  <a:srgbClr val="0000FF"/>
                </a:solidFill>
                <a:latin typeface="Arial"/>
                <a:cs typeface="Arial"/>
              </a:rPr>
              <a:pPr algn="l" rtl="0">
                <a:defRPr sz="1000"/>
              </a:pPr>
              <a:t>140µF</a:t>
            </a:fld>
            <a:endParaRPr lang="en-US" sz="1000" b="1" i="0" strike="noStrike">
              <a:solidFill>
                <a:srgbClr val="0000FF"/>
              </a:solidFill>
              <a:latin typeface="Arial"/>
              <a:cs typeface="Arial"/>
            </a:endParaRPr>
          </a:p>
        </xdr:txBody>
      </xdr:sp>
    </xdr:grpSp>
    <xdr:clientData/>
  </xdr:twoCellAnchor>
  <xdr:twoCellAnchor editAs="oneCell">
    <xdr:from>
      <xdr:col>3</xdr:col>
      <xdr:colOff>609599</xdr:colOff>
      <xdr:row>6</xdr:row>
      <xdr:rowOff>0</xdr:rowOff>
    </xdr:from>
    <xdr:to>
      <xdr:col>4</xdr:col>
      <xdr:colOff>8229599</xdr:colOff>
      <xdr:row>6</xdr:row>
      <xdr:rowOff>4480726</xdr:rowOff>
    </xdr:to>
    <xdr:pic>
      <xdr:nvPicPr>
        <xdr:cNvPr id="82" name="Picture 8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82249" y="1028700"/>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609599</xdr:colOff>
      <xdr:row>6</xdr:row>
      <xdr:rowOff>0</xdr:rowOff>
    </xdr:from>
    <xdr:to>
      <xdr:col>7</xdr:col>
      <xdr:colOff>8229599</xdr:colOff>
      <xdr:row>6</xdr:row>
      <xdr:rowOff>4480726</xdr:rowOff>
    </xdr:to>
    <xdr:pic>
      <xdr:nvPicPr>
        <xdr:cNvPr id="84" name="Picture 8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916774" y="1028700"/>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847724</xdr:colOff>
      <xdr:row>8</xdr:row>
      <xdr:rowOff>0</xdr:rowOff>
    </xdr:from>
    <xdr:to>
      <xdr:col>1</xdr:col>
      <xdr:colOff>8229599</xdr:colOff>
      <xdr:row>8</xdr:row>
      <xdr:rowOff>4480726</xdr:rowOff>
    </xdr:to>
    <xdr:pic>
      <xdr:nvPicPr>
        <xdr:cNvPr id="51" name="Picture 5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47724" y="5781675"/>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847724</xdr:colOff>
      <xdr:row>10</xdr:row>
      <xdr:rowOff>0</xdr:rowOff>
    </xdr:from>
    <xdr:to>
      <xdr:col>1</xdr:col>
      <xdr:colOff>8229599</xdr:colOff>
      <xdr:row>10</xdr:row>
      <xdr:rowOff>4480726</xdr:rowOff>
    </xdr:to>
    <xdr:pic>
      <xdr:nvPicPr>
        <xdr:cNvPr id="52" name="Picture 5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7724" y="10572750"/>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843642</xdr:colOff>
      <xdr:row>12</xdr:row>
      <xdr:rowOff>0</xdr:rowOff>
    </xdr:from>
    <xdr:to>
      <xdr:col>1</xdr:col>
      <xdr:colOff>8229599</xdr:colOff>
      <xdr:row>12</xdr:row>
      <xdr:rowOff>4480726</xdr:rowOff>
    </xdr:to>
    <xdr:pic>
      <xdr:nvPicPr>
        <xdr:cNvPr id="53" name="Picture 5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43642" y="15267214"/>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843642</xdr:colOff>
      <xdr:row>14</xdr:row>
      <xdr:rowOff>-1</xdr:rowOff>
    </xdr:from>
    <xdr:to>
      <xdr:col>1</xdr:col>
      <xdr:colOff>8229599</xdr:colOff>
      <xdr:row>14</xdr:row>
      <xdr:rowOff>4480725</xdr:rowOff>
    </xdr:to>
    <xdr:pic>
      <xdr:nvPicPr>
        <xdr:cNvPr id="73" name="Picture 72"/>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3642" y="19961678"/>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843642</xdr:colOff>
      <xdr:row>6</xdr:row>
      <xdr:rowOff>0</xdr:rowOff>
    </xdr:from>
    <xdr:to>
      <xdr:col>1</xdr:col>
      <xdr:colOff>8229599</xdr:colOff>
      <xdr:row>6</xdr:row>
      <xdr:rowOff>4480726</xdr:rowOff>
    </xdr:to>
    <xdr:pic>
      <xdr:nvPicPr>
        <xdr:cNvPr id="76" name="Picture 75"/>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43642" y="1034143"/>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843642</xdr:colOff>
      <xdr:row>16</xdr:row>
      <xdr:rowOff>0</xdr:rowOff>
    </xdr:from>
    <xdr:to>
      <xdr:col>1</xdr:col>
      <xdr:colOff>8229599</xdr:colOff>
      <xdr:row>16</xdr:row>
      <xdr:rowOff>4480726</xdr:rowOff>
    </xdr:to>
    <xdr:pic>
      <xdr:nvPicPr>
        <xdr:cNvPr id="77" name="Picture 76"/>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43642" y="24656143"/>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843642</xdr:colOff>
      <xdr:row>18</xdr:row>
      <xdr:rowOff>0</xdr:rowOff>
    </xdr:from>
    <xdr:to>
      <xdr:col>1</xdr:col>
      <xdr:colOff>8229599</xdr:colOff>
      <xdr:row>18</xdr:row>
      <xdr:rowOff>4480726</xdr:rowOff>
    </xdr:to>
    <xdr:pic>
      <xdr:nvPicPr>
        <xdr:cNvPr id="85" name="Picture 84"/>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43642" y="29337000"/>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843642</xdr:colOff>
      <xdr:row>20</xdr:row>
      <xdr:rowOff>0</xdr:rowOff>
    </xdr:from>
    <xdr:to>
      <xdr:col>1</xdr:col>
      <xdr:colOff>8229599</xdr:colOff>
      <xdr:row>20</xdr:row>
      <xdr:rowOff>4480726</xdr:rowOff>
    </xdr:to>
    <xdr:pic>
      <xdr:nvPicPr>
        <xdr:cNvPr id="86" name="Picture 85"/>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3642" y="33949821"/>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612320</xdr:colOff>
      <xdr:row>8</xdr:row>
      <xdr:rowOff>0</xdr:rowOff>
    </xdr:from>
    <xdr:to>
      <xdr:col>4</xdr:col>
      <xdr:colOff>8229599</xdr:colOff>
      <xdr:row>8</xdr:row>
      <xdr:rowOff>4480726</xdr:rowOff>
    </xdr:to>
    <xdr:pic>
      <xdr:nvPicPr>
        <xdr:cNvPr id="17" name="Picture 16"/>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382249" y="5783036"/>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612320</xdr:colOff>
      <xdr:row>10</xdr:row>
      <xdr:rowOff>0</xdr:rowOff>
    </xdr:from>
    <xdr:to>
      <xdr:col>4</xdr:col>
      <xdr:colOff>8229599</xdr:colOff>
      <xdr:row>10</xdr:row>
      <xdr:rowOff>4480726</xdr:rowOff>
    </xdr:to>
    <xdr:pic>
      <xdr:nvPicPr>
        <xdr:cNvPr id="19" name="Picture 18"/>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382249" y="10477500"/>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612320</xdr:colOff>
      <xdr:row>12</xdr:row>
      <xdr:rowOff>0</xdr:rowOff>
    </xdr:from>
    <xdr:to>
      <xdr:col>4</xdr:col>
      <xdr:colOff>8229599</xdr:colOff>
      <xdr:row>12</xdr:row>
      <xdr:rowOff>4480726</xdr:rowOff>
    </xdr:to>
    <xdr:pic>
      <xdr:nvPicPr>
        <xdr:cNvPr id="20" name="Picture 19"/>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382249" y="15171964"/>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612320</xdr:colOff>
      <xdr:row>14</xdr:row>
      <xdr:rowOff>0</xdr:rowOff>
    </xdr:from>
    <xdr:to>
      <xdr:col>4</xdr:col>
      <xdr:colOff>8229599</xdr:colOff>
      <xdr:row>14</xdr:row>
      <xdr:rowOff>4480726</xdr:rowOff>
    </xdr:to>
    <xdr:pic>
      <xdr:nvPicPr>
        <xdr:cNvPr id="21" name="Picture 20"/>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382249" y="19866429"/>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612320</xdr:colOff>
      <xdr:row>16</xdr:row>
      <xdr:rowOff>0</xdr:rowOff>
    </xdr:from>
    <xdr:to>
      <xdr:col>4</xdr:col>
      <xdr:colOff>8229599</xdr:colOff>
      <xdr:row>16</xdr:row>
      <xdr:rowOff>4480726</xdr:rowOff>
    </xdr:to>
    <xdr:pic>
      <xdr:nvPicPr>
        <xdr:cNvPr id="22" name="Picture 21"/>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0382249" y="24560893"/>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612320</xdr:colOff>
      <xdr:row>18</xdr:row>
      <xdr:rowOff>0</xdr:rowOff>
    </xdr:from>
    <xdr:to>
      <xdr:col>4</xdr:col>
      <xdr:colOff>8229599</xdr:colOff>
      <xdr:row>18</xdr:row>
      <xdr:rowOff>4480726</xdr:rowOff>
    </xdr:to>
    <xdr:pic>
      <xdr:nvPicPr>
        <xdr:cNvPr id="23" name="Picture 22"/>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0382249" y="29241750"/>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612320</xdr:colOff>
      <xdr:row>20</xdr:row>
      <xdr:rowOff>0</xdr:rowOff>
    </xdr:from>
    <xdr:to>
      <xdr:col>4</xdr:col>
      <xdr:colOff>8229599</xdr:colOff>
      <xdr:row>20</xdr:row>
      <xdr:rowOff>4480726</xdr:rowOff>
    </xdr:to>
    <xdr:pic>
      <xdr:nvPicPr>
        <xdr:cNvPr id="24" name="Picture 23"/>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0382249" y="33949821"/>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8</xdr:row>
      <xdr:rowOff>0</xdr:rowOff>
    </xdr:from>
    <xdr:to>
      <xdr:col>7</xdr:col>
      <xdr:colOff>8229599</xdr:colOff>
      <xdr:row>8</xdr:row>
      <xdr:rowOff>4480726</xdr:rowOff>
    </xdr:to>
    <xdr:pic>
      <xdr:nvPicPr>
        <xdr:cNvPr id="25" name="Picture 24"/>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9898590" y="5766955"/>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10</xdr:row>
      <xdr:rowOff>0</xdr:rowOff>
    </xdr:from>
    <xdr:to>
      <xdr:col>7</xdr:col>
      <xdr:colOff>8229599</xdr:colOff>
      <xdr:row>10</xdr:row>
      <xdr:rowOff>4480726</xdr:rowOff>
    </xdr:to>
    <xdr:pic>
      <xdr:nvPicPr>
        <xdr:cNvPr id="27" name="Picture 26"/>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9898590" y="10460182"/>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12</xdr:row>
      <xdr:rowOff>0</xdr:rowOff>
    </xdr:from>
    <xdr:to>
      <xdr:col>7</xdr:col>
      <xdr:colOff>8229599</xdr:colOff>
      <xdr:row>12</xdr:row>
      <xdr:rowOff>4480726</xdr:rowOff>
    </xdr:to>
    <xdr:pic>
      <xdr:nvPicPr>
        <xdr:cNvPr id="28" name="Picture 27"/>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9898590" y="15153409"/>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14</xdr:row>
      <xdr:rowOff>0</xdr:rowOff>
    </xdr:from>
    <xdr:to>
      <xdr:col>7</xdr:col>
      <xdr:colOff>8229599</xdr:colOff>
      <xdr:row>14</xdr:row>
      <xdr:rowOff>4480726</xdr:rowOff>
    </xdr:to>
    <xdr:pic>
      <xdr:nvPicPr>
        <xdr:cNvPr id="29" name="Picture 28"/>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9898590" y="19846636"/>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16</xdr:row>
      <xdr:rowOff>0</xdr:rowOff>
    </xdr:from>
    <xdr:to>
      <xdr:col>7</xdr:col>
      <xdr:colOff>8229599</xdr:colOff>
      <xdr:row>16</xdr:row>
      <xdr:rowOff>4480726</xdr:rowOff>
    </xdr:to>
    <xdr:pic>
      <xdr:nvPicPr>
        <xdr:cNvPr id="31" name="Picture 30"/>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9898590" y="24539864"/>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18</xdr:row>
      <xdr:rowOff>0</xdr:rowOff>
    </xdr:from>
    <xdr:to>
      <xdr:col>7</xdr:col>
      <xdr:colOff>8229599</xdr:colOff>
      <xdr:row>18</xdr:row>
      <xdr:rowOff>4480726</xdr:rowOff>
    </xdr:to>
    <xdr:pic>
      <xdr:nvPicPr>
        <xdr:cNvPr id="33" name="Picture 32"/>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9898590" y="29233091"/>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20</xdr:row>
      <xdr:rowOff>0</xdr:rowOff>
    </xdr:from>
    <xdr:to>
      <xdr:col>7</xdr:col>
      <xdr:colOff>8229599</xdr:colOff>
      <xdr:row>20</xdr:row>
      <xdr:rowOff>4480726</xdr:rowOff>
    </xdr:to>
    <xdr:pic>
      <xdr:nvPicPr>
        <xdr:cNvPr id="34" name="Picture 33"/>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9898590" y="33943636"/>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30</xdr:row>
          <xdr:rowOff>9525</xdr:rowOff>
        </xdr:from>
        <xdr:to>
          <xdr:col>6</xdr:col>
          <xdr:colOff>876300</xdr:colOff>
          <xdr:row>31</xdr:row>
          <xdr:rowOff>0</xdr:rowOff>
        </xdr:to>
        <xdr:sp macro="" textlink="">
          <xdr:nvSpPr>
            <xdr:cNvPr id="674505" name="Drop Down 713" hidden="1">
              <a:extLst>
                <a:ext uri="{63B3BB69-23CF-44E3-9099-C40C66FF867C}">
                  <a14:compatExt spid="_x0000_s674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31</xdr:row>
          <xdr:rowOff>9525</xdr:rowOff>
        </xdr:from>
        <xdr:to>
          <xdr:col>6</xdr:col>
          <xdr:colOff>876300</xdr:colOff>
          <xdr:row>32</xdr:row>
          <xdr:rowOff>0</xdr:rowOff>
        </xdr:to>
        <xdr:sp macro="" textlink="">
          <xdr:nvSpPr>
            <xdr:cNvPr id="674508" name="Drop Down 716" hidden="1">
              <a:extLst>
                <a:ext uri="{63B3BB69-23CF-44E3-9099-C40C66FF867C}">
                  <a14:compatExt spid="_x0000_s674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9525</xdr:rowOff>
        </xdr:from>
        <xdr:to>
          <xdr:col>6</xdr:col>
          <xdr:colOff>876300</xdr:colOff>
          <xdr:row>36</xdr:row>
          <xdr:rowOff>0</xdr:rowOff>
        </xdr:to>
        <xdr:sp macro="" textlink="">
          <xdr:nvSpPr>
            <xdr:cNvPr id="674527" name="Drop Down 735" hidden="1">
              <a:extLst>
                <a:ext uri="{63B3BB69-23CF-44E3-9099-C40C66FF867C}">
                  <a14:compatExt spid="_x0000_s674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40</xdr:row>
          <xdr:rowOff>9525</xdr:rowOff>
        </xdr:from>
        <xdr:to>
          <xdr:col>6</xdr:col>
          <xdr:colOff>876300</xdr:colOff>
          <xdr:row>41</xdr:row>
          <xdr:rowOff>0</xdr:rowOff>
        </xdr:to>
        <xdr:sp macro="" textlink="">
          <xdr:nvSpPr>
            <xdr:cNvPr id="674534" name="Drop Down 742" hidden="1">
              <a:extLst>
                <a:ext uri="{63B3BB69-23CF-44E3-9099-C40C66FF867C}">
                  <a14:compatExt spid="_x0000_s674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9525</xdr:rowOff>
        </xdr:from>
        <xdr:to>
          <xdr:col>6</xdr:col>
          <xdr:colOff>876300</xdr:colOff>
          <xdr:row>38</xdr:row>
          <xdr:rowOff>0</xdr:rowOff>
        </xdr:to>
        <xdr:sp macro="" textlink="">
          <xdr:nvSpPr>
            <xdr:cNvPr id="674536" name="Drop Down 744" hidden="1">
              <a:extLst>
                <a:ext uri="{63B3BB69-23CF-44E3-9099-C40C66FF867C}">
                  <a14:compatExt spid="_x0000_s674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9525</xdr:rowOff>
        </xdr:from>
        <xdr:to>
          <xdr:col>6</xdr:col>
          <xdr:colOff>876300</xdr:colOff>
          <xdr:row>37</xdr:row>
          <xdr:rowOff>0</xdr:rowOff>
        </xdr:to>
        <xdr:sp macro="" textlink="">
          <xdr:nvSpPr>
            <xdr:cNvPr id="674539" name="Drop Down 747" hidden="1">
              <a:extLst>
                <a:ext uri="{63B3BB69-23CF-44E3-9099-C40C66FF867C}">
                  <a14:compatExt spid="_x0000_s674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9525</xdr:rowOff>
        </xdr:from>
        <xdr:to>
          <xdr:col>6</xdr:col>
          <xdr:colOff>876300</xdr:colOff>
          <xdr:row>40</xdr:row>
          <xdr:rowOff>0</xdr:rowOff>
        </xdr:to>
        <xdr:sp macro="" textlink="">
          <xdr:nvSpPr>
            <xdr:cNvPr id="674540" name="Drop Down 748" hidden="1">
              <a:extLst>
                <a:ext uri="{63B3BB69-23CF-44E3-9099-C40C66FF867C}">
                  <a14:compatExt spid="_x0000_s6745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9525</xdr:rowOff>
        </xdr:from>
        <xdr:to>
          <xdr:col>6</xdr:col>
          <xdr:colOff>876300</xdr:colOff>
          <xdr:row>42</xdr:row>
          <xdr:rowOff>0</xdr:rowOff>
        </xdr:to>
        <xdr:sp macro="" textlink="">
          <xdr:nvSpPr>
            <xdr:cNvPr id="674541" name="Drop Down 749" hidden="1">
              <a:extLst>
                <a:ext uri="{63B3BB69-23CF-44E3-9099-C40C66FF867C}">
                  <a14:compatExt spid="_x0000_s674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xdr:row>
          <xdr:rowOff>9525</xdr:rowOff>
        </xdr:from>
        <xdr:to>
          <xdr:col>6</xdr:col>
          <xdr:colOff>876300</xdr:colOff>
          <xdr:row>43</xdr:row>
          <xdr:rowOff>0</xdr:rowOff>
        </xdr:to>
        <xdr:sp macro="" textlink="">
          <xdr:nvSpPr>
            <xdr:cNvPr id="674542" name="Drop Down 750" hidden="1">
              <a:extLst>
                <a:ext uri="{63B3BB69-23CF-44E3-9099-C40C66FF867C}">
                  <a14:compatExt spid="_x0000_s674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xdr:row>
          <xdr:rowOff>9525</xdr:rowOff>
        </xdr:from>
        <xdr:to>
          <xdr:col>6</xdr:col>
          <xdr:colOff>876300</xdr:colOff>
          <xdr:row>44</xdr:row>
          <xdr:rowOff>0</xdr:rowOff>
        </xdr:to>
        <xdr:sp macro="" textlink="">
          <xdr:nvSpPr>
            <xdr:cNvPr id="674543" name="Drop Down 751" hidden="1">
              <a:extLst>
                <a:ext uri="{63B3BB69-23CF-44E3-9099-C40C66FF867C}">
                  <a14:compatExt spid="_x0000_s674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9525</xdr:rowOff>
        </xdr:from>
        <xdr:to>
          <xdr:col>6</xdr:col>
          <xdr:colOff>876300</xdr:colOff>
          <xdr:row>35</xdr:row>
          <xdr:rowOff>0</xdr:rowOff>
        </xdr:to>
        <xdr:sp macro="" textlink="">
          <xdr:nvSpPr>
            <xdr:cNvPr id="674544" name="Drop Down 752" hidden="1">
              <a:extLst>
                <a:ext uri="{63B3BB69-23CF-44E3-9099-C40C66FF867C}">
                  <a14:compatExt spid="_x0000_s674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44</xdr:row>
          <xdr:rowOff>9525</xdr:rowOff>
        </xdr:from>
        <xdr:to>
          <xdr:col>6</xdr:col>
          <xdr:colOff>876300</xdr:colOff>
          <xdr:row>45</xdr:row>
          <xdr:rowOff>0</xdr:rowOff>
        </xdr:to>
        <xdr:sp macro="" textlink="">
          <xdr:nvSpPr>
            <xdr:cNvPr id="674632" name="Drop Down 840" hidden="1">
              <a:extLst>
                <a:ext uri="{63B3BB69-23CF-44E3-9099-C40C66FF867C}">
                  <a14:compatExt spid="_x0000_s6746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9525</xdr:rowOff>
        </xdr:from>
        <xdr:to>
          <xdr:col>6</xdr:col>
          <xdr:colOff>876300</xdr:colOff>
          <xdr:row>34</xdr:row>
          <xdr:rowOff>0</xdr:rowOff>
        </xdr:to>
        <xdr:sp macro="" textlink="">
          <xdr:nvSpPr>
            <xdr:cNvPr id="674633" name="Drop Down 841" hidden="1">
              <a:extLst>
                <a:ext uri="{63B3BB69-23CF-44E3-9099-C40C66FF867C}">
                  <a14:compatExt spid="_x0000_s6746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370999</xdr:colOff>
          <xdr:row>0</xdr:row>
          <xdr:rowOff>95250</xdr:rowOff>
        </xdr:from>
        <xdr:to>
          <xdr:col>7</xdr:col>
          <xdr:colOff>906899</xdr:colOff>
          <xdr:row>26</xdr:row>
          <xdr:rowOff>57258</xdr:rowOff>
        </xdr:to>
        <xdr:pic>
          <xdr:nvPicPr>
            <xdr:cNvPr id="77" name="Picture 8888"/>
            <xdr:cNvPicPr>
              <a:picLocks noChangeAspect="1" noChangeArrowheads="1"/>
              <a:extLst>
                <a:ext uri="{84589F7E-364E-4C9E-8A38-B11213B215E9}">
                  <a14:cameraTool cellRange="PICTURE1" spid="_x0000_s706311"/>
                </a:ext>
              </a:extLst>
            </xdr:cNvPicPr>
          </xdr:nvPicPr>
          <xdr:blipFill>
            <a:blip xmlns:r="http://schemas.openxmlformats.org/officeDocument/2006/relationships" r:embed="rId1"/>
            <a:srcRect/>
            <a:stretch>
              <a:fillRect/>
            </a:stretch>
          </xdr:blipFill>
          <xdr:spPr bwMode="auto">
            <a:xfrm>
              <a:off x="370999" y="95250"/>
              <a:ext cx="7308175" cy="4172058"/>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xdr:col>
      <xdr:colOff>420742</xdr:colOff>
      <xdr:row>9</xdr:row>
      <xdr:rowOff>23494</xdr:rowOff>
    </xdr:from>
    <xdr:to>
      <xdr:col>1</xdr:col>
      <xdr:colOff>743582</xdr:colOff>
      <xdr:row>10</xdr:row>
      <xdr:rowOff>95608</xdr:rowOff>
    </xdr:to>
    <xdr:sp macro="" textlink="">
      <xdr:nvSpPr>
        <xdr:cNvPr id="78" name="Text Box 244"/>
        <xdr:cNvSpPr txBox="1">
          <a:spLocks noChangeArrowheads="1"/>
        </xdr:cNvSpPr>
      </xdr:nvSpPr>
      <xdr:spPr bwMode="auto">
        <a:xfrm>
          <a:off x="1058917" y="1480819"/>
          <a:ext cx="322840" cy="234039"/>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C</a:t>
          </a:r>
          <a:r>
            <a:rPr lang="en-US" sz="1100" b="0" i="0" strike="noStrike" baseline="-25000">
              <a:solidFill>
                <a:srgbClr val="000000"/>
              </a:solidFill>
              <a:latin typeface="Arial" pitchFamily="34" charset="0"/>
              <a:cs typeface="Arial" pitchFamily="34" charset="0"/>
            </a:rPr>
            <a:t>IN</a:t>
          </a:r>
        </a:p>
      </xdr:txBody>
    </xdr:sp>
    <xdr:clientData/>
  </xdr:twoCellAnchor>
  <xdr:twoCellAnchor>
    <xdr:from>
      <xdr:col>6</xdr:col>
      <xdr:colOff>847596</xdr:colOff>
      <xdr:row>7</xdr:row>
      <xdr:rowOff>63609</xdr:rowOff>
    </xdr:from>
    <xdr:to>
      <xdr:col>7</xdr:col>
      <xdr:colOff>265709</xdr:colOff>
      <xdr:row>8</xdr:row>
      <xdr:rowOff>84849</xdr:rowOff>
    </xdr:to>
    <xdr:sp macro="" textlink="'Variable Mgmt'!B213">
      <xdr:nvSpPr>
        <xdr:cNvPr id="79" name="Text Box 267"/>
        <xdr:cNvSpPr txBox="1">
          <a:spLocks noChangeArrowheads="1" noTextEdit="1"/>
        </xdr:cNvSpPr>
      </xdr:nvSpPr>
      <xdr:spPr bwMode="auto">
        <a:xfrm>
          <a:off x="6543546" y="1197084"/>
          <a:ext cx="494438" cy="183165"/>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1100" b="0" i="0" u="none" strike="noStrike" baseline="0">
              <a:solidFill>
                <a:srgbClr val="000000"/>
              </a:solidFill>
              <a:latin typeface="Arial" pitchFamily="34" charset="0"/>
              <a:cs typeface="Arial" pitchFamily="34" charset="0"/>
            </a:rPr>
            <a:pPr algn="l" rtl="0">
              <a:defRPr sz="1000"/>
            </a:pPr>
            <a:t>100µF</a:t>
          </a:fld>
          <a:endParaRPr lang="en-US" sz="1100" b="0" i="0" u="none" strike="noStrike" baseline="0">
            <a:solidFill>
              <a:srgbClr val="000000"/>
            </a:solidFill>
            <a:latin typeface="Arial" pitchFamily="34" charset="0"/>
            <a:cs typeface="Arial" pitchFamily="34" charset="0"/>
          </a:endParaRPr>
        </a:p>
      </xdr:txBody>
    </xdr:sp>
    <xdr:clientData/>
  </xdr:twoCellAnchor>
  <xdr:twoCellAnchor>
    <xdr:from>
      <xdr:col>5</xdr:col>
      <xdr:colOff>224042</xdr:colOff>
      <xdr:row>9</xdr:row>
      <xdr:rowOff>105784</xdr:rowOff>
    </xdr:from>
    <xdr:to>
      <xdr:col>5</xdr:col>
      <xdr:colOff>675647</xdr:colOff>
      <xdr:row>11</xdr:row>
      <xdr:rowOff>40383</xdr:rowOff>
    </xdr:to>
    <xdr:sp macro="" textlink="'Variable Mgmt'!B199">
      <xdr:nvSpPr>
        <xdr:cNvPr id="80" name="Text Box 275"/>
        <xdr:cNvSpPr txBox="1">
          <a:spLocks noChangeArrowheads="1" noTextEdit="1"/>
        </xdr:cNvSpPr>
      </xdr:nvSpPr>
      <xdr:spPr bwMode="auto">
        <a:xfrm>
          <a:off x="5015117" y="1563109"/>
          <a:ext cx="451605" cy="258449"/>
        </a:xfrm>
        <a:prstGeom prst="rect">
          <a:avLst/>
        </a:prstGeom>
        <a:noFill/>
        <a:ln w="9525">
          <a:noFill/>
          <a:miter lim="800000"/>
          <a:headEnd/>
          <a:tailEnd/>
        </a:ln>
      </xdr:spPr>
      <xdr:txBody>
        <a:bodyPr vertOverflow="clip" wrap="square" lIns="27432" tIns="22860" rIns="0" bIns="0" anchor="ctr" upright="1"/>
        <a:lstStyle/>
        <a:p>
          <a:pPr algn="ctr" rtl="0">
            <a:defRPr sz="1000"/>
          </a:pPr>
          <a:fld id="{08583DE7-3129-476B-98BE-2887A134E956}" type="TxLink">
            <a:rPr lang="en-US" sz="1100" b="0" i="0" u="none" strike="noStrike" baseline="0">
              <a:solidFill>
                <a:srgbClr val="000000"/>
              </a:solidFill>
              <a:latin typeface="Arial" pitchFamily="34" charset="0"/>
              <a:cs typeface="Arial" pitchFamily="34" charset="0"/>
            </a:rPr>
            <a:pPr algn="ctr" rtl="0">
              <a:defRPr sz="1000"/>
            </a:pPr>
            <a:t>47µH</a:t>
          </a:fld>
          <a:endParaRPr lang="en-US" sz="1100" b="0" i="0" u="none" strike="noStrike" baseline="0">
            <a:solidFill>
              <a:srgbClr val="000000"/>
            </a:solidFill>
            <a:latin typeface="Arial" pitchFamily="34" charset="0"/>
            <a:cs typeface="Arial" pitchFamily="34" charset="0"/>
          </a:endParaRPr>
        </a:p>
      </xdr:txBody>
    </xdr:sp>
    <xdr:clientData/>
  </xdr:twoCellAnchor>
  <xdr:twoCellAnchor>
    <xdr:from>
      <xdr:col>1</xdr:col>
      <xdr:colOff>329828</xdr:colOff>
      <xdr:row>10</xdr:row>
      <xdr:rowOff>96372</xdr:rowOff>
    </xdr:from>
    <xdr:to>
      <xdr:col>2</xdr:col>
      <xdr:colOff>37577</xdr:colOff>
      <xdr:row>11</xdr:row>
      <xdr:rowOff>132518</xdr:rowOff>
    </xdr:to>
    <xdr:sp macro="" textlink="'Variable Mgmt'!B218">
      <xdr:nvSpPr>
        <xdr:cNvPr id="81" name="Text Box 276"/>
        <xdr:cNvSpPr txBox="1">
          <a:spLocks noChangeArrowheads="1" noTextEdit="1"/>
        </xdr:cNvSpPr>
      </xdr:nvSpPr>
      <xdr:spPr bwMode="auto">
        <a:xfrm>
          <a:off x="968003" y="1715622"/>
          <a:ext cx="469749" cy="198071"/>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1100" b="0" i="0" u="none" strike="noStrike" baseline="0">
              <a:solidFill>
                <a:srgbClr val="000000"/>
              </a:solidFill>
              <a:latin typeface="Arial" pitchFamily="34" charset="0"/>
              <a:cs typeface="Arial" pitchFamily="34" charset="0"/>
            </a:rPr>
            <a:pPr algn="ctr" rtl="0">
              <a:defRPr sz="1000"/>
            </a:pPr>
            <a:t>22µF</a:t>
          </a:fld>
          <a:endParaRPr lang="en-US" sz="1100" b="0" i="0" u="none" strike="noStrike" baseline="0">
            <a:solidFill>
              <a:srgbClr val="000000"/>
            </a:solidFill>
            <a:latin typeface="Arial" pitchFamily="34" charset="0"/>
            <a:cs typeface="Arial" pitchFamily="34" charset="0"/>
          </a:endParaRPr>
        </a:p>
      </xdr:txBody>
    </xdr:sp>
    <xdr:clientData/>
  </xdr:twoCellAnchor>
  <xdr:twoCellAnchor>
    <xdr:from>
      <xdr:col>2</xdr:col>
      <xdr:colOff>198843</xdr:colOff>
      <xdr:row>21</xdr:row>
      <xdr:rowOff>104015</xdr:rowOff>
    </xdr:from>
    <xdr:to>
      <xdr:col>2</xdr:col>
      <xdr:colOff>642811</xdr:colOff>
      <xdr:row>23</xdr:row>
      <xdr:rowOff>62417</xdr:rowOff>
    </xdr:to>
    <xdr:sp macro="" textlink="'Variable Mgmt'!D245">
      <xdr:nvSpPr>
        <xdr:cNvPr id="82" name="Text Box 281"/>
        <xdr:cNvSpPr txBox="1">
          <a:spLocks noChangeArrowheads="1" noTextEdit="1"/>
        </xdr:cNvSpPr>
      </xdr:nvSpPr>
      <xdr:spPr bwMode="auto">
        <a:xfrm>
          <a:off x="1599018" y="3504440"/>
          <a:ext cx="443968" cy="282252"/>
        </a:xfrm>
        <a:prstGeom prst="rect">
          <a:avLst/>
        </a:prstGeom>
        <a:noFill/>
        <a:ln w="9525">
          <a:noFill/>
          <a:miter lim="800000"/>
          <a:headEnd/>
          <a:tailEnd/>
        </a:ln>
      </xdr:spPr>
      <xdr:txBody>
        <a:bodyPr vertOverflow="clip" wrap="square" lIns="27432" tIns="22860" rIns="0" bIns="0" anchor="ctr" upright="1"/>
        <a:lstStyle/>
        <a:p>
          <a:pPr algn="l" rtl="0">
            <a:defRPr sz="1000"/>
          </a:pPr>
          <a:fld id="{F2115F91-8BFD-4C9B-9969-8B2C04ADF4C5}" type="TxLink">
            <a:rPr lang="en-US" sz="1100" b="0" i="0" u="none" strike="noStrike">
              <a:solidFill>
                <a:srgbClr val="000000"/>
              </a:solidFill>
              <a:latin typeface="Arial"/>
              <a:cs typeface="Arial"/>
            </a:rPr>
            <a:pPr algn="l" rtl="0">
              <a:defRPr sz="1000"/>
            </a:pPr>
            <a:t>39nF</a:t>
          </a:fld>
          <a:endParaRPr lang="en-US" sz="1100" b="0" i="0" strike="noStrike">
            <a:solidFill>
              <a:srgbClr val="000000"/>
            </a:solidFill>
            <a:latin typeface="Arial" pitchFamily="34" charset="0"/>
            <a:cs typeface="Arial" pitchFamily="34" charset="0"/>
          </a:endParaRPr>
        </a:p>
      </xdr:txBody>
    </xdr:sp>
    <xdr:clientData/>
  </xdr:twoCellAnchor>
  <xdr:twoCellAnchor>
    <xdr:from>
      <xdr:col>0</xdr:col>
      <xdr:colOff>344923</xdr:colOff>
      <xdr:row>2</xdr:row>
      <xdr:rowOff>118526</xdr:rowOff>
    </xdr:from>
    <xdr:to>
      <xdr:col>1</xdr:col>
      <xdr:colOff>219275</xdr:colOff>
      <xdr:row>5</xdr:row>
      <xdr:rowOff>91586</xdr:rowOff>
    </xdr:to>
    <xdr:sp macro="" textlink="'Variable Mgmt'!B205">
      <xdr:nvSpPr>
        <xdr:cNvPr id="85" name="Text Box 283"/>
        <xdr:cNvSpPr txBox="1">
          <a:spLocks noChangeArrowheads="1" noTextEdit="1"/>
        </xdr:cNvSpPr>
      </xdr:nvSpPr>
      <xdr:spPr bwMode="auto">
        <a:xfrm>
          <a:off x="344923" y="442376"/>
          <a:ext cx="512527" cy="458835"/>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400" b="1" i="0" u="none" strike="noStrike">
              <a:solidFill>
                <a:srgbClr val="FF0000"/>
              </a:solidFill>
              <a:latin typeface="Arial" pitchFamily="34" charset="0"/>
              <a:cs typeface="Arial" pitchFamily="34" charset="0"/>
            </a:rPr>
            <a:pPr algn="r" rtl="0">
              <a:defRPr sz="1000"/>
            </a:pPr>
            <a:t>12V</a:t>
          </a:fld>
          <a:endParaRPr lang="en-US" sz="1400" b="1" i="0" strike="noStrike">
            <a:solidFill>
              <a:srgbClr val="FF0000"/>
            </a:solidFill>
            <a:latin typeface="Arial" pitchFamily="34" charset="0"/>
            <a:cs typeface="Arial" pitchFamily="34" charset="0"/>
          </a:endParaRPr>
        </a:p>
      </xdr:txBody>
    </xdr:sp>
    <xdr:clientData/>
  </xdr:twoCellAnchor>
  <xdr:twoCellAnchor>
    <xdr:from>
      <xdr:col>7</xdr:col>
      <xdr:colOff>269013</xdr:colOff>
      <xdr:row>3</xdr:row>
      <xdr:rowOff>3197</xdr:rowOff>
    </xdr:from>
    <xdr:to>
      <xdr:col>7</xdr:col>
      <xdr:colOff>935407</xdr:colOff>
      <xdr:row>5</xdr:row>
      <xdr:rowOff>25976</xdr:rowOff>
    </xdr:to>
    <xdr:sp macro="" textlink="'Variable Mgmt'!B208">
      <xdr:nvSpPr>
        <xdr:cNvPr id="87" name="Text Box 285"/>
        <xdr:cNvSpPr txBox="1">
          <a:spLocks noChangeArrowheads="1" noTextEdit="1"/>
        </xdr:cNvSpPr>
      </xdr:nvSpPr>
      <xdr:spPr bwMode="auto">
        <a:xfrm>
          <a:off x="7041288" y="488972"/>
          <a:ext cx="666394" cy="346629"/>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400" b="1" i="0" u="none" strike="noStrike" baseline="0">
              <a:solidFill>
                <a:srgbClr val="FF0000"/>
              </a:solidFill>
              <a:latin typeface="Arial" pitchFamily="34" charset="0"/>
              <a:cs typeface="Arial" pitchFamily="34" charset="0"/>
            </a:rPr>
            <a:pPr algn="l" rtl="0">
              <a:defRPr sz="1000"/>
            </a:pPr>
            <a:t>24V</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7</xdr:col>
      <xdr:colOff>116324</xdr:colOff>
      <xdr:row>4</xdr:row>
      <xdr:rowOff>112611</xdr:rowOff>
    </xdr:from>
    <xdr:to>
      <xdr:col>7</xdr:col>
      <xdr:colOff>668773</xdr:colOff>
      <xdr:row>6</xdr:row>
      <xdr:rowOff>93051</xdr:rowOff>
    </xdr:to>
    <xdr:sp macro="" textlink="'Variable Mgmt'!B263">
      <xdr:nvSpPr>
        <xdr:cNvPr id="88" name="Text Box 286"/>
        <xdr:cNvSpPr txBox="1">
          <a:spLocks noChangeArrowheads="1" noTextEdit="1"/>
        </xdr:cNvSpPr>
      </xdr:nvSpPr>
      <xdr:spPr bwMode="auto">
        <a:xfrm>
          <a:off x="6888599" y="760311"/>
          <a:ext cx="552449" cy="304290"/>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350" b="1" i="0" u="none" strike="noStrike">
              <a:solidFill>
                <a:srgbClr val="FF0000"/>
              </a:solidFill>
              <a:latin typeface="Arial" pitchFamily="34" charset="0"/>
              <a:cs typeface="Arial" pitchFamily="34" charset="0"/>
            </a:rPr>
            <a:pPr algn="ctr" rtl="0">
              <a:defRPr sz="1000"/>
            </a:pPr>
            <a:t>0.11A</a:t>
          </a:fld>
          <a:endParaRPr lang="en-US" sz="1350" b="1" i="0" strike="noStrike">
            <a:solidFill>
              <a:srgbClr val="FF0000"/>
            </a:solidFill>
            <a:latin typeface="Arial" pitchFamily="34" charset="0"/>
            <a:cs typeface="Arial" pitchFamily="34" charset="0"/>
          </a:endParaRPr>
        </a:p>
      </xdr:txBody>
    </xdr:sp>
    <xdr:clientData/>
  </xdr:twoCellAnchor>
  <xdr:twoCellAnchor>
    <xdr:from>
      <xdr:col>2</xdr:col>
      <xdr:colOff>217360</xdr:colOff>
      <xdr:row>7</xdr:row>
      <xdr:rowOff>99362</xdr:rowOff>
    </xdr:from>
    <xdr:to>
      <xdr:col>2</xdr:col>
      <xdr:colOff>742058</xdr:colOff>
      <xdr:row>9</xdr:row>
      <xdr:rowOff>29041</xdr:rowOff>
    </xdr:to>
    <xdr:sp macro="" textlink="'Variable Mgmt'!C237">
      <xdr:nvSpPr>
        <xdr:cNvPr id="92" name="Text Box 268"/>
        <xdr:cNvSpPr txBox="1">
          <a:spLocks noChangeArrowheads="1" noTextEdit="1"/>
        </xdr:cNvSpPr>
      </xdr:nvSpPr>
      <xdr:spPr bwMode="auto">
        <a:xfrm>
          <a:off x="1617535" y="1232837"/>
          <a:ext cx="524698" cy="253529"/>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1000" b="0" i="0" u="none" strike="noStrike">
              <a:solidFill>
                <a:srgbClr val="000000"/>
              </a:solidFill>
              <a:latin typeface="Arial"/>
              <a:cs typeface="Arial"/>
            </a:rPr>
            <a:pPr algn="l" rtl="0">
              <a:defRPr sz="1000"/>
            </a:pPr>
            <a:t>169kΩ</a:t>
          </a:fld>
          <a:endParaRPr lang="el-GR" sz="1000" b="0" i="0" strike="noStrike">
            <a:solidFill>
              <a:srgbClr val="000000"/>
            </a:solidFill>
            <a:latin typeface="Arial" pitchFamily="34" charset="0"/>
            <a:cs typeface="Arial" pitchFamily="34" charset="0"/>
          </a:endParaRPr>
        </a:p>
      </xdr:txBody>
    </xdr:sp>
    <xdr:clientData/>
  </xdr:twoCellAnchor>
  <xdr:twoCellAnchor>
    <xdr:from>
      <xdr:col>2</xdr:col>
      <xdr:colOff>198310</xdr:colOff>
      <xdr:row>13</xdr:row>
      <xdr:rowOff>137646</xdr:rowOff>
    </xdr:from>
    <xdr:to>
      <xdr:col>2</xdr:col>
      <xdr:colOff>723008</xdr:colOff>
      <xdr:row>15</xdr:row>
      <xdr:rowOff>31908</xdr:rowOff>
    </xdr:to>
    <xdr:sp macro="" textlink="'Variable Mgmt'!C238">
      <xdr:nvSpPr>
        <xdr:cNvPr id="93" name="Text Box 268"/>
        <xdr:cNvSpPr txBox="1">
          <a:spLocks noChangeArrowheads="1" noTextEdit="1"/>
        </xdr:cNvSpPr>
      </xdr:nvSpPr>
      <xdr:spPr bwMode="auto">
        <a:xfrm>
          <a:off x="1598485" y="2242671"/>
          <a:ext cx="524698" cy="218112"/>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1000" b="0" i="0" u="none" strike="noStrike">
              <a:solidFill>
                <a:srgbClr val="000000"/>
              </a:solidFill>
              <a:latin typeface="Arial"/>
              <a:cs typeface="Arial"/>
            </a:rPr>
            <a:pPr algn="l" rtl="0">
              <a:defRPr sz="1000"/>
            </a:pPr>
            <a:t>84.5kΩ</a:t>
          </a:fld>
          <a:endParaRPr lang="el-GR" sz="1000" b="0" i="0" strike="noStrike">
            <a:solidFill>
              <a:srgbClr val="000000"/>
            </a:solidFill>
            <a:latin typeface="Arial" pitchFamily="34" charset="0"/>
            <a:cs typeface="Arial" pitchFamily="34" charset="0"/>
          </a:endParaRPr>
        </a:p>
      </xdr:txBody>
    </xdr:sp>
    <xdr:clientData/>
  </xdr:twoCellAnchor>
  <xdr:twoCellAnchor>
    <xdr:from>
      <xdr:col>4</xdr:col>
      <xdr:colOff>659751</xdr:colOff>
      <xdr:row>14</xdr:row>
      <xdr:rowOff>38988</xdr:rowOff>
    </xdr:from>
    <xdr:to>
      <xdr:col>5</xdr:col>
      <xdr:colOff>29192</xdr:colOff>
      <xdr:row>15</xdr:row>
      <xdr:rowOff>121560</xdr:rowOff>
    </xdr:to>
    <xdr:sp macro="" textlink="'Variable Mgmt'!C227">
      <xdr:nvSpPr>
        <xdr:cNvPr id="94" name="Text Box 268"/>
        <xdr:cNvSpPr txBox="1">
          <a:spLocks noChangeArrowheads="1" noTextEdit="1"/>
        </xdr:cNvSpPr>
      </xdr:nvSpPr>
      <xdr:spPr bwMode="auto">
        <a:xfrm>
          <a:off x="4298301" y="2305938"/>
          <a:ext cx="521966" cy="244497"/>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1100" b="0" i="0" u="none" strike="noStrike">
              <a:solidFill>
                <a:srgbClr val="000000"/>
              </a:solidFill>
              <a:latin typeface="Arial"/>
              <a:cs typeface="Arial"/>
            </a:rPr>
            <a:pPr algn="l" rtl="0">
              <a:defRPr sz="1000"/>
            </a:pPr>
            <a:t>727.5kΩ</a:t>
          </a:fld>
          <a:endParaRPr lang="el-GR" sz="1800" b="0" i="0" strike="noStrike">
            <a:solidFill>
              <a:srgbClr val="000000"/>
            </a:solidFill>
            <a:latin typeface="Arial" pitchFamily="34" charset="0"/>
            <a:cs typeface="Arial" pitchFamily="34" charset="0"/>
          </a:endParaRPr>
        </a:p>
      </xdr:txBody>
    </xdr:sp>
    <xdr:clientData/>
  </xdr:twoCellAnchor>
  <xdr:twoCellAnchor>
    <xdr:from>
      <xdr:col>5</xdr:col>
      <xdr:colOff>157931</xdr:colOff>
      <xdr:row>20</xdr:row>
      <xdr:rowOff>88956</xdr:rowOff>
    </xdr:from>
    <xdr:to>
      <xdr:col>5</xdr:col>
      <xdr:colOff>672415</xdr:colOff>
      <xdr:row>21</xdr:row>
      <xdr:rowOff>128452</xdr:rowOff>
    </xdr:to>
    <xdr:sp macro="" textlink="'Variable Mgmt'!C241">
      <xdr:nvSpPr>
        <xdr:cNvPr id="95" name="Text Box 265"/>
        <xdr:cNvSpPr txBox="1">
          <a:spLocks noChangeArrowheads="1" noTextEdit="1"/>
        </xdr:cNvSpPr>
      </xdr:nvSpPr>
      <xdr:spPr bwMode="auto">
        <a:xfrm>
          <a:off x="4949006" y="3327456"/>
          <a:ext cx="514484" cy="201421"/>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1100" b="0" i="0" u="none" strike="noStrike" baseline="0">
              <a:solidFill>
                <a:srgbClr val="000000"/>
              </a:solidFill>
              <a:latin typeface="Arial"/>
              <a:cs typeface="Arial"/>
            </a:rPr>
            <a:pPr algn="l" rtl="0">
              <a:defRPr sz="1000"/>
            </a:pPr>
            <a:t>12.1kΩ</a:t>
          </a:fld>
          <a:endParaRPr lang="el-GR" sz="1200" b="0" i="0" u="none" strike="noStrike" baseline="0">
            <a:solidFill>
              <a:srgbClr val="000000"/>
            </a:solidFill>
            <a:latin typeface="Arial" pitchFamily="34" charset="0"/>
            <a:cs typeface="Arial" pitchFamily="34" charset="0"/>
          </a:endParaRPr>
        </a:p>
      </xdr:txBody>
    </xdr:sp>
    <xdr:clientData/>
  </xdr:twoCellAnchor>
  <xdr:twoCellAnchor>
    <xdr:from>
      <xdr:col>0</xdr:col>
      <xdr:colOff>95250</xdr:colOff>
      <xdr:row>5</xdr:row>
      <xdr:rowOff>6666</xdr:rowOff>
    </xdr:from>
    <xdr:to>
      <xdr:col>1</xdr:col>
      <xdr:colOff>740109</xdr:colOff>
      <xdr:row>6</xdr:row>
      <xdr:rowOff>133349</xdr:rowOff>
    </xdr:to>
    <xdr:sp macro="" textlink="'Variable Mgmt'!B206">
      <xdr:nvSpPr>
        <xdr:cNvPr id="96" name="Text Box 283"/>
        <xdr:cNvSpPr txBox="1">
          <a:spLocks noChangeArrowheads="1" noTextEdit="1"/>
        </xdr:cNvSpPr>
      </xdr:nvSpPr>
      <xdr:spPr bwMode="auto">
        <a:xfrm>
          <a:off x="95250" y="816291"/>
          <a:ext cx="1283034" cy="288608"/>
        </a:xfrm>
        <a:prstGeom prst="rect">
          <a:avLst/>
        </a:prstGeom>
        <a:noFill/>
        <a:ln w="9525">
          <a:noFill/>
          <a:miter lim="800000"/>
          <a:headEnd/>
          <a:tailEnd/>
        </a:ln>
      </xdr:spPr>
      <xdr:txBody>
        <a:bodyPr vertOverflow="clip" wrap="square" lIns="27432" tIns="22860" rIns="0" bIns="0" anchor="t" upright="1"/>
        <a:lstStyle/>
        <a:p>
          <a:pPr algn="ctr" rtl="0">
            <a:defRPr sz="1000"/>
          </a:pPr>
          <a:fld id="{47315316-35F3-49E7-A4CE-EA42773D1FAE}" type="TxLink">
            <a:rPr lang="en-US" sz="1200" b="1" i="0" u="none" strike="noStrike">
              <a:solidFill>
                <a:srgbClr val="000000"/>
              </a:solidFill>
              <a:latin typeface="Arial"/>
              <a:cs typeface="Arial"/>
            </a:rPr>
            <a:pPr algn="ctr" rtl="0">
              <a:defRPr sz="1000"/>
            </a:pPr>
            <a:t>10V...15V</a:t>
          </a:fld>
          <a:endParaRPr lang="en-US" sz="1200" b="1" i="0" strike="noStrike">
            <a:solidFill>
              <a:srgbClr val="000000"/>
            </a:solidFill>
            <a:latin typeface="Arial" pitchFamily="34" charset="0"/>
            <a:cs typeface="Arial" pitchFamily="34" charset="0"/>
          </a:endParaRPr>
        </a:p>
      </xdr:txBody>
    </xdr:sp>
    <xdr:clientData/>
  </xdr:twoCellAnchor>
  <xdr:twoCellAnchor>
    <xdr:from>
      <xdr:col>4</xdr:col>
      <xdr:colOff>679229</xdr:colOff>
      <xdr:row>18</xdr:row>
      <xdr:rowOff>149860</xdr:rowOff>
    </xdr:from>
    <xdr:to>
      <xdr:col>4</xdr:col>
      <xdr:colOff>1010101</xdr:colOff>
      <xdr:row>20</xdr:row>
      <xdr:rowOff>77900</xdr:rowOff>
    </xdr:to>
    <xdr:sp macro="" textlink="'Variable Mgmt'!C233">
      <xdr:nvSpPr>
        <xdr:cNvPr id="97" name="Text Box 225"/>
        <xdr:cNvSpPr txBox="1">
          <a:spLocks noChangeArrowheads="1"/>
        </xdr:cNvSpPr>
      </xdr:nvSpPr>
      <xdr:spPr bwMode="auto">
        <a:xfrm>
          <a:off x="4317779" y="3064510"/>
          <a:ext cx="330872" cy="251890"/>
        </a:xfrm>
        <a:prstGeom prst="rect">
          <a:avLst/>
        </a:prstGeom>
        <a:noFill/>
        <a:ln w="9525">
          <a:noFill/>
          <a:miter lim="800000"/>
          <a:headEnd/>
          <a:tailEnd/>
        </a:ln>
      </xdr:spPr>
      <xdr:txBody>
        <a:bodyPr vertOverflow="clip" wrap="square" lIns="27432" tIns="27432" rIns="0" bIns="0" anchor="ctr" upright="1"/>
        <a:lstStyle/>
        <a:p>
          <a:pPr algn="l" rtl="0">
            <a:defRPr sz="1000"/>
          </a:pPr>
          <a:fld id="{C394427D-AAFB-4910-BFD4-26E4AF094E1D}" type="TxLink">
            <a:rPr lang="en-US" sz="1000" b="0" i="0" u="none" strike="noStrike">
              <a:solidFill>
                <a:srgbClr val="000000"/>
              </a:solidFill>
              <a:latin typeface="Arial"/>
              <a:cs typeface="Arial"/>
            </a:rPr>
            <a:pPr algn="l" rtl="0">
              <a:defRPr sz="1000"/>
            </a:pPr>
            <a:t>Rtc</a:t>
          </a:fld>
          <a:endParaRPr lang="en-US" sz="1100" b="0" i="0" strike="noStrike" baseline="-25000">
            <a:solidFill>
              <a:srgbClr val="000000"/>
            </a:solidFill>
            <a:latin typeface="Arial" pitchFamily="34" charset="0"/>
            <a:cs typeface="Arial" pitchFamily="34" charset="0"/>
          </a:endParaRPr>
        </a:p>
      </xdr:txBody>
    </xdr:sp>
    <xdr:clientData/>
  </xdr:twoCellAnchor>
  <xdr:twoCellAnchor>
    <xdr:from>
      <xdr:col>4</xdr:col>
      <xdr:colOff>631623</xdr:colOff>
      <xdr:row>20</xdr:row>
      <xdr:rowOff>71205</xdr:rowOff>
    </xdr:from>
    <xdr:to>
      <xdr:col>4</xdr:col>
      <xdr:colOff>1147003</xdr:colOff>
      <xdr:row>21</xdr:row>
      <xdr:rowOff>142012</xdr:rowOff>
    </xdr:to>
    <xdr:sp macro="" textlink="'Variable Mgmt'!B233">
      <xdr:nvSpPr>
        <xdr:cNvPr id="98" name="Text Box 268"/>
        <xdr:cNvSpPr txBox="1">
          <a:spLocks noChangeArrowheads="1" noTextEdit="1"/>
        </xdr:cNvSpPr>
      </xdr:nvSpPr>
      <xdr:spPr bwMode="auto">
        <a:xfrm>
          <a:off x="4270173" y="3309705"/>
          <a:ext cx="515380" cy="232732"/>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1100" b="0" i="0" u="none" strike="noStrike">
              <a:solidFill>
                <a:srgbClr val="000000"/>
              </a:solidFill>
              <a:latin typeface="Arial"/>
              <a:cs typeface="Arial"/>
            </a:rPr>
            <a:pPr algn="l" rtl="0">
              <a:defRPr sz="1000"/>
            </a:pPr>
            <a:t>1820kΩ</a:t>
          </a:fld>
          <a:endParaRPr lang="el-GR" sz="1100" b="0" i="0" strike="noStrike">
            <a:solidFill>
              <a:srgbClr val="000000"/>
            </a:solidFill>
            <a:latin typeface="Arial" pitchFamily="34" charset="0"/>
            <a:cs typeface="Arial" pitchFamily="34" charset="0"/>
          </a:endParaRPr>
        </a:p>
      </xdr:txBody>
    </xdr:sp>
    <xdr:clientData/>
  </xdr:twoCellAnchor>
  <xdr:twoCellAnchor>
    <xdr:from>
      <xdr:col>2</xdr:col>
      <xdr:colOff>237557</xdr:colOff>
      <xdr:row>6</xdr:row>
      <xdr:rowOff>57806</xdr:rowOff>
    </xdr:from>
    <xdr:to>
      <xdr:col>2</xdr:col>
      <xdr:colOff>639607</xdr:colOff>
      <xdr:row>7</xdr:row>
      <xdr:rowOff>125922</xdr:rowOff>
    </xdr:to>
    <xdr:sp macro="" textlink="'Variable Mgmt'!C236">
      <xdr:nvSpPr>
        <xdr:cNvPr id="99" name="Text Box 264"/>
        <xdr:cNvSpPr txBox="1">
          <a:spLocks noChangeArrowheads="1" noTextEdit="1"/>
        </xdr:cNvSpPr>
      </xdr:nvSpPr>
      <xdr:spPr bwMode="auto">
        <a:xfrm>
          <a:off x="1637732" y="1029356"/>
          <a:ext cx="402050" cy="230041"/>
        </a:xfrm>
        <a:prstGeom prst="rect">
          <a:avLst/>
        </a:prstGeom>
        <a:noFill/>
        <a:ln w="9525">
          <a:noFill/>
          <a:miter lim="800000"/>
          <a:headEnd/>
          <a:tailEnd/>
        </a:ln>
      </xdr:spPr>
      <xdr:txBody>
        <a:bodyPr vertOverflow="clip" wrap="square" lIns="27432" tIns="22860" rIns="0" bIns="0" anchor="ctr" upright="1"/>
        <a:lstStyle/>
        <a:p>
          <a:pPr algn="l" rtl="0">
            <a:defRPr sz="1000"/>
          </a:pPr>
          <a:fld id="{31380AD2-7EE8-49DF-ADF3-9022D781233D}" type="TxLink">
            <a:rPr lang="en-US" sz="1000" b="0" i="0" u="none" strike="noStrike" baseline="0">
              <a:solidFill>
                <a:srgbClr val="000000"/>
              </a:solidFill>
              <a:latin typeface="Arial"/>
              <a:cs typeface="Arial"/>
            </a:rPr>
            <a:pPr algn="l" rtl="0">
              <a:defRPr sz="1000"/>
            </a:pPr>
            <a:t>Ruv1</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2</xdr:col>
      <xdr:colOff>237557</xdr:colOff>
      <xdr:row>12</xdr:row>
      <xdr:rowOff>115234</xdr:rowOff>
    </xdr:from>
    <xdr:to>
      <xdr:col>2</xdr:col>
      <xdr:colOff>661587</xdr:colOff>
      <xdr:row>13</xdr:row>
      <xdr:rowOff>135750</xdr:rowOff>
    </xdr:to>
    <xdr:sp macro="" textlink="'Variable Mgmt'!D236">
      <xdr:nvSpPr>
        <xdr:cNvPr id="100" name="Text Box 264"/>
        <xdr:cNvSpPr txBox="1">
          <a:spLocks noChangeArrowheads="1" noTextEdit="1"/>
        </xdr:cNvSpPr>
      </xdr:nvSpPr>
      <xdr:spPr bwMode="auto">
        <a:xfrm>
          <a:off x="1637732" y="2058334"/>
          <a:ext cx="424030" cy="182441"/>
        </a:xfrm>
        <a:prstGeom prst="rect">
          <a:avLst/>
        </a:prstGeom>
        <a:noFill/>
        <a:ln w="9525">
          <a:noFill/>
          <a:miter lim="800000"/>
          <a:headEnd/>
          <a:tailEnd/>
        </a:ln>
      </xdr:spPr>
      <xdr:txBody>
        <a:bodyPr vertOverflow="clip" wrap="square" lIns="27432" tIns="22860" rIns="0" bIns="0" anchor="ctr" upright="1"/>
        <a:lstStyle/>
        <a:p>
          <a:pPr algn="l" rtl="0">
            <a:defRPr sz="1000"/>
          </a:pPr>
          <a:fld id="{873432C6-E14A-45C8-BEDA-C8EFF8641C5C}" type="TxLink">
            <a:rPr lang="en-US" sz="1000" b="0" i="0" u="none" strike="noStrike" baseline="0">
              <a:solidFill>
                <a:srgbClr val="000000"/>
              </a:solidFill>
              <a:latin typeface="Arial"/>
              <a:cs typeface="Arial"/>
            </a:rPr>
            <a:pPr algn="l" rtl="0">
              <a:defRPr sz="1000"/>
            </a:pPr>
            <a:t>Ruv2</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2</xdr:col>
      <xdr:colOff>216427</xdr:colOff>
      <xdr:row>20</xdr:row>
      <xdr:rowOff>331</xdr:rowOff>
    </xdr:from>
    <xdr:to>
      <xdr:col>2</xdr:col>
      <xdr:colOff>660395</xdr:colOff>
      <xdr:row>22</xdr:row>
      <xdr:rowOff>12593</xdr:rowOff>
    </xdr:to>
    <xdr:sp macro="" textlink="'Variable Mgmt'!C246">
      <xdr:nvSpPr>
        <xdr:cNvPr id="101" name="Text Box 281"/>
        <xdr:cNvSpPr txBox="1">
          <a:spLocks noChangeArrowheads="1" noTextEdit="1"/>
        </xdr:cNvSpPr>
      </xdr:nvSpPr>
      <xdr:spPr bwMode="auto">
        <a:xfrm>
          <a:off x="1616602" y="3238831"/>
          <a:ext cx="443968" cy="336112"/>
        </a:xfrm>
        <a:prstGeom prst="rect">
          <a:avLst/>
        </a:prstGeom>
        <a:noFill/>
        <a:ln w="9525">
          <a:noFill/>
          <a:miter lim="800000"/>
          <a:headEnd/>
          <a:tailEnd/>
        </a:ln>
      </xdr:spPr>
      <xdr:txBody>
        <a:bodyPr vertOverflow="clip" wrap="square" lIns="27432" tIns="22860" rIns="0" bIns="0" anchor="ctr" upright="1"/>
        <a:lstStyle/>
        <a:p>
          <a:pPr algn="l" rtl="0">
            <a:defRPr sz="1000"/>
          </a:pPr>
          <a:fld id="{B81C36CF-66FD-4734-B04F-DAE82AF849A9}" type="TxLink">
            <a:rPr lang="en-US" sz="1100" b="0" i="0" u="none" strike="noStrike">
              <a:solidFill>
                <a:srgbClr val="000000"/>
              </a:solidFill>
              <a:latin typeface="Arial"/>
              <a:cs typeface="Arial"/>
            </a:rPr>
            <a:pPr algn="l" rtl="0">
              <a:defRPr sz="1000"/>
            </a:pPr>
            <a:t>Css</a:t>
          </a:fld>
          <a:endParaRPr lang="en-US" sz="1100" b="0" i="0" strike="noStrike">
            <a:solidFill>
              <a:srgbClr val="000000"/>
            </a:solidFill>
            <a:latin typeface="Arial" pitchFamily="34" charset="0"/>
            <a:cs typeface="Arial" pitchFamily="34" charset="0"/>
          </a:endParaRPr>
        </a:p>
      </xdr:txBody>
    </xdr:sp>
    <xdr:clientData/>
  </xdr:twoCellAnchor>
  <xdr:twoCellAnchor>
    <xdr:from>
      <xdr:col>4</xdr:col>
      <xdr:colOff>682414</xdr:colOff>
      <xdr:row>12</xdr:row>
      <xdr:rowOff>161265</xdr:rowOff>
    </xdr:from>
    <xdr:to>
      <xdr:col>4</xdr:col>
      <xdr:colOff>1005254</xdr:colOff>
      <xdr:row>14</xdr:row>
      <xdr:rowOff>69989</xdr:rowOff>
    </xdr:to>
    <xdr:sp macro="" textlink="">
      <xdr:nvSpPr>
        <xdr:cNvPr id="103" name="Text Box 244"/>
        <xdr:cNvSpPr txBox="1">
          <a:spLocks noChangeArrowheads="1"/>
        </xdr:cNvSpPr>
      </xdr:nvSpPr>
      <xdr:spPr bwMode="auto">
        <a:xfrm>
          <a:off x="4320964" y="2104365"/>
          <a:ext cx="322840" cy="232574"/>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FB</a:t>
          </a:r>
        </a:p>
      </xdr:txBody>
    </xdr:sp>
    <xdr:clientData/>
  </xdr:twoCellAnchor>
  <xdr:twoCellAnchor>
    <xdr:from>
      <xdr:col>5</xdr:col>
      <xdr:colOff>184207</xdr:colOff>
      <xdr:row>19</xdr:row>
      <xdr:rowOff>9801</xdr:rowOff>
    </xdr:from>
    <xdr:to>
      <xdr:col>5</xdr:col>
      <xdr:colOff>571224</xdr:colOff>
      <xdr:row>20</xdr:row>
      <xdr:rowOff>81258</xdr:rowOff>
    </xdr:to>
    <xdr:sp macro="" textlink="">
      <xdr:nvSpPr>
        <xdr:cNvPr id="104" name="Text Box 244"/>
        <xdr:cNvSpPr txBox="1">
          <a:spLocks noChangeArrowheads="1"/>
        </xdr:cNvSpPr>
      </xdr:nvSpPr>
      <xdr:spPr bwMode="auto">
        <a:xfrm>
          <a:off x="4975282" y="3086376"/>
          <a:ext cx="387017" cy="233382"/>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SET</a:t>
          </a:r>
        </a:p>
      </xdr:txBody>
    </xdr:sp>
    <xdr:clientData/>
  </xdr:twoCellAnchor>
  <xdr:twoCellAnchor>
    <xdr:from>
      <xdr:col>4</xdr:col>
      <xdr:colOff>216702</xdr:colOff>
      <xdr:row>5</xdr:row>
      <xdr:rowOff>7931</xdr:rowOff>
    </xdr:from>
    <xdr:to>
      <xdr:col>4</xdr:col>
      <xdr:colOff>680586</xdr:colOff>
      <xdr:row>6</xdr:row>
      <xdr:rowOff>105017</xdr:rowOff>
    </xdr:to>
    <xdr:sp macro="" textlink="">
      <xdr:nvSpPr>
        <xdr:cNvPr id="105" name="Text Box 235"/>
        <xdr:cNvSpPr txBox="1">
          <a:spLocks noChangeArrowheads="1"/>
        </xdr:cNvSpPr>
      </xdr:nvSpPr>
      <xdr:spPr bwMode="auto">
        <a:xfrm>
          <a:off x="3855252" y="817556"/>
          <a:ext cx="463884" cy="259011"/>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CLAMP</a:t>
          </a:r>
        </a:p>
      </xdr:txBody>
    </xdr:sp>
    <xdr:clientData/>
  </xdr:twoCellAnchor>
  <xdr:twoCellAnchor>
    <xdr:from>
      <xdr:col>4</xdr:col>
      <xdr:colOff>501318</xdr:colOff>
      <xdr:row>9</xdr:row>
      <xdr:rowOff>20387</xdr:rowOff>
    </xdr:from>
    <xdr:to>
      <xdr:col>4</xdr:col>
      <xdr:colOff>770618</xdr:colOff>
      <xdr:row>10</xdr:row>
      <xdr:rowOff>119671</xdr:rowOff>
    </xdr:to>
    <xdr:sp macro="" textlink="">
      <xdr:nvSpPr>
        <xdr:cNvPr id="126" name="Text Box 235"/>
        <xdr:cNvSpPr txBox="1">
          <a:spLocks noChangeArrowheads="1"/>
        </xdr:cNvSpPr>
      </xdr:nvSpPr>
      <xdr:spPr bwMode="auto">
        <a:xfrm>
          <a:off x="4139868" y="1477712"/>
          <a:ext cx="269300" cy="261209"/>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F</a:t>
          </a:r>
        </a:p>
      </xdr:txBody>
    </xdr:sp>
    <xdr:clientData/>
  </xdr:twoCellAnchor>
  <xdr:twoCellAnchor>
    <xdr:from>
      <xdr:col>5</xdr:col>
      <xdr:colOff>142399</xdr:colOff>
      <xdr:row>8</xdr:row>
      <xdr:rowOff>104775</xdr:rowOff>
    </xdr:from>
    <xdr:to>
      <xdr:col>5</xdr:col>
      <xdr:colOff>790575</xdr:colOff>
      <xdr:row>10</xdr:row>
      <xdr:rowOff>0</xdr:rowOff>
    </xdr:to>
    <xdr:sp macro="" textlink="'Variable Mgmt'!B201">
      <xdr:nvSpPr>
        <xdr:cNvPr id="127" name="Text Box 265"/>
        <xdr:cNvSpPr txBox="1">
          <a:spLocks noChangeArrowheads="1" noTextEdit="1"/>
        </xdr:cNvSpPr>
      </xdr:nvSpPr>
      <xdr:spPr bwMode="auto">
        <a:xfrm>
          <a:off x="4933474" y="1400175"/>
          <a:ext cx="648176" cy="219075"/>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1000" b="0" i="0" u="none" strike="noStrike" baseline="0">
              <a:solidFill>
                <a:srgbClr val="000000"/>
              </a:solidFill>
              <a:latin typeface="Arial"/>
              <a:cs typeface="Arial"/>
            </a:rPr>
            <a:pPr algn="ctr" rtl="0">
              <a:defRPr sz="1000"/>
            </a:pPr>
            <a:t>1 : 1</a:t>
          </a:fld>
          <a:endParaRPr lang="el-GR" sz="1200" b="0" i="0" u="none" strike="noStrike" baseline="0">
            <a:solidFill>
              <a:srgbClr val="000000"/>
            </a:solidFill>
            <a:latin typeface="Arial" pitchFamily="34" charset="0"/>
            <a:cs typeface="Arial" pitchFamily="34" charset="0"/>
          </a:endParaRPr>
        </a:p>
      </xdr:txBody>
    </xdr:sp>
    <xdr:clientData/>
  </xdr:twoCellAnchor>
  <xdr:twoCellAnchor>
    <xdr:from>
      <xdr:col>7</xdr:col>
      <xdr:colOff>288063</xdr:colOff>
      <xdr:row>11</xdr:row>
      <xdr:rowOff>136547</xdr:rowOff>
    </xdr:from>
    <xdr:to>
      <xdr:col>7</xdr:col>
      <xdr:colOff>954457</xdr:colOff>
      <xdr:row>13</xdr:row>
      <xdr:rowOff>159326</xdr:rowOff>
    </xdr:to>
    <xdr:sp macro="" textlink="'Variable Mgmt'!B209">
      <xdr:nvSpPr>
        <xdr:cNvPr id="128" name="Text Box 285"/>
        <xdr:cNvSpPr txBox="1">
          <a:spLocks noChangeArrowheads="1" noTextEdit="1"/>
        </xdr:cNvSpPr>
      </xdr:nvSpPr>
      <xdr:spPr bwMode="auto">
        <a:xfrm>
          <a:off x="7060338" y="1917722"/>
          <a:ext cx="666394" cy="346629"/>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7</xdr:col>
      <xdr:colOff>133350</xdr:colOff>
      <xdr:row>13</xdr:row>
      <xdr:rowOff>74511</xdr:rowOff>
    </xdr:from>
    <xdr:to>
      <xdr:col>7</xdr:col>
      <xdr:colOff>733425</xdr:colOff>
      <xdr:row>15</xdr:row>
      <xdr:rowOff>54951</xdr:rowOff>
    </xdr:to>
    <xdr:sp macro="" textlink="'Variable Mgmt'!B264">
      <xdr:nvSpPr>
        <xdr:cNvPr id="129" name="Text Box 286"/>
        <xdr:cNvSpPr txBox="1">
          <a:spLocks noChangeArrowheads="1" noTextEdit="1"/>
        </xdr:cNvSpPr>
      </xdr:nvSpPr>
      <xdr:spPr bwMode="auto">
        <a:xfrm>
          <a:off x="6905625" y="2179536"/>
          <a:ext cx="600075" cy="304290"/>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350" b="1" i="0" u="none" strike="noStrike">
              <a:solidFill>
                <a:srgbClr val="FF0000"/>
              </a:solidFill>
              <a:latin typeface="Arial"/>
              <a:cs typeface="Arial"/>
            </a:rPr>
            <a:pPr algn="ctr" rtl="0">
              <a:defRPr sz="1000"/>
            </a:pPr>
            <a:t> </a:t>
          </a:fld>
          <a:endParaRPr lang="en-US" sz="1350" b="1" i="0" strike="noStrike">
            <a:solidFill>
              <a:srgbClr val="FF0000"/>
            </a:solidFill>
            <a:latin typeface="Arial" pitchFamily="34" charset="0"/>
            <a:cs typeface="Arial" pitchFamily="34" charset="0"/>
          </a:endParaRPr>
        </a:p>
      </xdr:txBody>
    </xdr:sp>
    <xdr:clientData/>
  </xdr:twoCellAnchor>
  <xdr:twoCellAnchor>
    <xdr:from>
      <xdr:col>7</xdr:col>
      <xdr:colOff>278538</xdr:colOff>
      <xdr:row>14</xdr:row>
      <xdr:rowOff>146072</xdr:rowOff>
    </xdr:from>
    <xdr:to>
      <xdr:col>7</xdr:col>
      <xdr:colOff>944932</xdr:colOff>
      <xdr:row>17</xdr:row>
      <xdr:rowOff>6926</xdr:rowOff>
    </xdr:to>
    <xdr:sp macro="" textlink="'Variable Mgmt'!B210">
      <xdr:nvSpPr>
        <xdr:cNvPr id="130" name="Text Box 285"/>
        <xdr:cNvSpPr txBox="1">
          <a:spLocks noChangeArrowheads="1" noTextEdit="1"/>
        </xdr:cNvSpPr>
      </xdr:nvSpPr>
      <xdr:spPr bwMode="auto">
        <a:xfrm>
          <a:off x="7050813" y="2413022"/>
          <a:ext cx="666394" cy="346629"/>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7</xdr:col>
      <xdr:colOff>105866</xdr:colOff>
      <xdr:row>16</xdr:row>
      <xdr:rowOff>84036</xdr:rowOff>
    </xdr:from>
    <xdr:to>
      <xdr:col>7</xdr:col>
      <xdr:colOff>859940</xdr:colOff>
      <xdr:row>18</xdr:row>
      <xdr:rowOff>64476</xdr:rowOff>
    </xdr:to>
    <xdr:sp macro="" textlink="'Variable Mgmt'!B265">
      <xdr:nvSpPr>
        <xdr:cNvPr id="131" name="Text Box 286"/>
        <xdr:cNvSpPr txBox="1">
          <a:spLocks noChangeArrowheads="1" noTextEdit="1"/>
        </xdr:cNvSpPr>
      </xdr:nvSpPr>
      <xdr:spPr bwMode="auto">
        <a:xfrm>
          <a:off x="6878141" y="2674836"/>
          <a:ext cx="754074" cy="304290"/>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350" b="1" i="0" u="none" strike="noStrike">
              <a:solidFill>
                <a:srgbClr val="FF0000"/>
              </a:solidFill>
              <a:latin typeface="Arial"/>
              <a:cs typeface="Arial"/>
            </a:rPr>
            <a:pPr algn="ctr" rtl="0">
              <a:defRPr sz="1000"/>
            </a:pPr>
            <a:t> </a:t>
          </a:fld>
          <a:endParaRPr lang="en-US" sz="1350" b="1" i="0" strike="noStrike">
            <a:solidFill>
              <a:srgbClr val="FF0000"/>
            </a:solidFill>
            <a:latin typeface="Arial" pitchFamily="34" charset="0"/>
            <a:cs typeface="Arial" pitchFamily="34" charset="0"/>
          </a:endParaRPr>
        </a:p>
      </xdr:txBody>
    </xdr:sp>
    <xdr:clientData/>
  </xdr:twoCellAnchor>
  <xdr:twoCellAnchor>
    <xdr:from>
      <xdr:col>6</xdr:col>
      <xdr:colOff>847596</xdr:colOff>
      <xdr:row>13</xdr:row>
      <xdr:rowOff>111234</xdr:rowOff>
    </xdr:from>
    <xdr:to>
      <xdr:col>7</xdr:col>
      <xdr:colOff>265709</xdr:colOff>
      <xdr:row>14</xdr:row>
      <xdr:rowOff>132474</xdr:rowOff>
    </xdr:to>
    <xdr:sp macro="" textlink="'Variable Mgmt'!D213">
      <xdr:nvSpPr>
        <xdr:cNvPr id="132" name="Text Box 267"/>
        <xdr:cNvSpPr txBox="1">
          <a:spLocks noChangeArrowheads="1" noTextEdit="1"/>
        </xdr:cNvSpPr>
      </xdr:nvSpPr>
      <xdr:spPr bwMode="auto">
        <a:xfrm>
          <a:off x="6543546" y="2216259"/>
          <a:ext cx="494438" cy="183165"/>
        </a:xfrm>
        <a:prstGeom prst="rect">
          <a:avLst/>
        </a:prstGeom>
        <a:noFill/>
        <a:ln w="9525">
          <a:noFill/>
          <a:miter lim="800000"/>
          <a:headEnd/>
          <a:tailEnd/>
        </a:ln>
      </xdr:spPr>
      <xdr:txBody>
        <a:bodyPr vertOverflow="clip" wrap="square" lIns="27432" tIns="22860" rIns="0" bIns="0" anchor="ctr" upright="1"/>
        <a:lstStyle/>
        <a:p>
          <a:pPr algn="l" rtl="0">
            <a:defRPr sz="1000"/>
          </a:pPr>
          <a:fld id="{1BBBBB7F-554B-4BC8-BF86-B8FB4EA76457}" type="TxLink">
            <a:rPr lang="en-US" sz="1100" b="0" i="0" u="none" strike="noStrike" baseline="0">
              <a:solidFill>
                <a:srgbClr val="000000"/>
              </a:solidFill>
              <a:latin typeface="Arial"/>
              <a:cs typeface="Arial"/>
            </a:rPr>
            <a:pPr algn="l" rtl="0">
              <a:defRPr sz="1000"/>
            </a:pPr>
            <a:t> </a:t>
          </a:fld>
          <a:endParaRPr lang="en-US" sz="1100" b="0" i="0" u="none" strike="noStrike" baseline="0">
            <a:solidFill>
              <a:srgbClr val="000000"/>
            </a:solidFill>
            <a:latin typeface="Arial" pitchFamily="34" charset="0"/>
            <a:cs typeface="Arial" pitchFamily="34" charset="0"/>
          </a:endParaRPr>
        </a:p>
      </xdr:txBody>
    </xdr:sp>
    <xdr:clientData/>
  </xdr:twoCellAnchor>
  <xdr:twoCellAnchor>
    <xdr:from>
      <xdr:col>6</xdr:col>
      <xdr:colOff>847596</xdr:colOff>
      <xdr:row>16</xdr:row>
      <xdr:rowOff>35034</xdr:rowOff>
    </xdr:from>
    <xdr:to>
      <xdr:col>7</xdr:col>
      <xdr:colOff>265709</xdr:colOff>
      <xdr:row>17</xdr:row>
      <xdr:rowOff>56274</xdr:rowOff>
    </xdr:to>
    <xdr:sp macro="" textlink="'Variable Mgmt'!C213">
      <xdr:nvSpPr>
        <xdr:cNvPr id="133" name="Text Box 267"/>
        <xdr:cNvSpPr txBox="1">
          <a:spLocks noChangeArrowheads="1" noTextEdit="1"/>
        </xdr:cNvSpPr>
      </xdr:nvSpPr>
      <xdr:spPr bwMode="auto">
        <a:xfrm>
          <a:off x="6543546" y="2625834"/>
          <a:ext cx="494438" cy="183165"/>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1100" b="0" i="0" u="none" strike="noStrike" baseline="0">
              <a:solidFill>
                <a:srgbClr val="000000"/>
              </a:solidFill>
              <a:latin typeface="Arial"/>
              <a:cs typeface="Arial"/>
            </a:rPr>
            <a:pPr algn="l" rtl="0">
              <a:defRPr sz="1000"/>
            </a:pPr>
            <a:t> </a:t>
          </a:fld>
          <a:endParaRPr lang="en-US" sz="1400" b="0" i="0" u="none" strike="noStrike" baseline="0">
            <a:solidFill>
              <a:srgbClr val="000000"/>
            </a:solidFill>
            <a:latin typeface="Arial" pitchFamily="34" charset="0"/>
            <a:cs typeface="Arial" pitchFamily="34" charset="0"/>
          </a:endParaRPr>
        </a:p>
      </xdr:txBody>
    </xdr:sp>
    <xdr:clientData/>
  </xdr:twoCellAnchor>
  <xdr:twoCellAnchor>
    <xdr:from>
      <xdr:col>5</xdr:col>
      <xdr:colOff>262430</xdr:colOff>
      <xdr:row>2</xdr:row>
      <xdr:rowOff>13969</xdr:rowOff>
    </xdr:from>
    <xdr:to>
      <xdr:col>5</xdr:col>
      <xdr:colOff>585270</xdr:colOff>
      <xdr:row>3</xdr:row>
      <xdr:rowOff>86083</xdr:rowOff>
    </xdr:to>
    <xdr:sp macro="" textlink="">
      <xdr:nvSpPr>
        <xdr:cNvPr id="134" name="Text Box 244"/>
        <xdr:cNvSpPr txBox="1">
          <a:spLocks noChangeArrowheads="1"/>
        </xdr:cNvSpPr>
      </xdr:nvSpPr>
      <xdr:spPr bwMode="auto">
        <a:xfrm>
          <a:off x="5053505" y="337819"/>
          <a:ext cx="322840" cy="234039"/>
        </a:xfrm>
        <a:prstGeom prst="rect">
          <a:avLst/>
        </a:prstGeom>
        <a:noFill/>
        <a:ln w="9525">
          <a:noFill/>
          <a:miter lim="800000"/>
          <a:headEnd/>
          <a:tailEnd/>
        </a:ln>
      </xdr:spPr>
      <xdr:txBody>
        <a:bodyPr vertOverflow="clip" wrap="square" lIns="27432" tIns="27432" rIns="0" bIns="0" anchor="t" upright="1"/>
        <a:lstStyle/>
        <a:p>
          <a:pPr algn="ctr" rtl="0">
            <a:defRPr sz="1000"/>
          </a:pPr>
          <a:r>
            <a:rPr lang="en-US" sz="1100" b="0" i="0" strike="noStrike">
              <a:solidFill>
                <a:srgbClr val="000000"/>
              </a:solidFill>
              <a:latin typeface="Arial" pitchFamily="34" charset="0"/>
              <a:cs typeface="Arial" pitchFamily="34" charset="0"/>
            </a:rPr>
            <a:t>T</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5</xdr:col>
          <xdr:colOff>895350</xdr:colOff>
          <xdr:row>32</xdr:row>
          <xdr:rowOff>9525</xdr:rowOff>
        </xdr:from>
        <xdr:to>
          <xdr:col>6</xdr:col>
          <xdr:colOff>866775</xdr:colOff>
          <xdr:row>33</xdr:row>
          <xdr:rowOff>0</xdr:rowOff>
        </xdr:to>
        <xdr:sp macro="" textlink="">
          <xdr:nvSpPr>
            <xdr:cNvPr id="706019" name="Drop Down 1507" hidden="1">
              <a:extLst>
                <a:ext uri="{63B3BB69-23CF-44E3-9099-C40C66FF867C}">
                  <a14:compatExt spid="_x0000_s706019"/>
                </a:ext>
              </a:extLst>
            </xdr:cNvPr>
            <xdr:cNvSpPr/>
          </xdr:nvSpPr>
          <xdr:spPr>
            <a:xfrm>
              <a:off x="0" y="0"/>
              <a:ext cx="0" cy="0"/>
            </a:xfrm>
            <a:prstGeom prst="rect">
              <a:avLst/>
            </a:prstGeom>
          </xdr:spPr>
        </xdr:sp>
        <xdr:clientData/>
      </xdr:twoCellAnchor>
    </mc:Choice>
    <mc:Fallback/>
  </mc:AlternateContent>
  <xdr:twoCellAnchor>
    <xdr:from>
      <xdr:col>3</xdr:col>
      <xdr:colOff>382642</xdr:colOff>
      <xdr:row>7</xdr:row>
      <xdr:rowOff>137794</xdr:rowOff>
    </xdr:from>
    <xdr:to>
      <xdr:col>3</xdr:col>
      <xdr:colOff>705482</xdr:colOff>
      <xdr:row>9</xdr:row>
      <xdr:rowOff>47983</xdr:rowOff>
    </xdr:to>
    <xdr:sp macro="" textlink="">
      <xdr:nvSpPr>
        <xdr:cNvPr id="47" name="Text Box 244"/>
        <xdr:cNvSpPr txBox="1">
          <a:spLocks noChangeArrowheads="1"/>
        </xdr:cNvSpPr>
      </xdr:nvSpPr>
      <xdr:spPr bwMode="auto">
        <a:xfrm>
          <a:off x="2678167" y="1271269"/>
          <a:ext cx="322840" cy="234039"/>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U</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38</xdr:row>
          <xdr:rowOff>9525</xdr:rowOff>
        </xdr:from>
        <xdr:to>
          <xdr:col>6</xdr:col>
          <xdr:colOff>876300</xdr:colOff>
          <xdr:row>39</xdr:row>
          <xdr:rowOff>0</xdr:rowOff>
        </xdr:to>
        <xdr:sp macro="" textlink="">
          <xdr:nvSpPr>
            <xdr:cNvPr id="706028" name="Drop Down 1516" hidden="1">
              <a:extLst>
                <a:ext uri="{63B3BB69-23CF-44E3-9099-C40C66FF867C}">
                  <a14:compatExt spid="_x0000_s706028"/>
                </a:ext>
              </a:extLst>
            </xdr:cNvPr>
            <xdr:cNvSpPr/>
          </xdr:nvSpPr>
          <xdr:spPr>
            <a:xfrm>
              <a:off x="0" y="0"/>
              <a:ext cx="0" cy="0"/>
            </a:xfrm>
            <a:prstGeom prst="rect">
              <a:avLst/>
            </a:prstGeom>
          </xdr:spPr>
        </xdr:sp>
        <xdr:clientData/>
      </xdr:twoCellAnchor>
    </mc:Choice>
    <mc:Fallback/>
  </mc:AlternateContent>
  <xdr:twoCellAnchor>
    <xdr:from>
      <xdr:col>3</xdr:col>
      <xdr:colOff>342900</xdr:colOff>
      <xdr:row>13</xdr:row>
      <xdr:rowOff>76200</xdr:rowOff>
    </xdr:from>
    <xdr:to>
      <xdr:col>3</xdr:col>
      <xdr:colOff>1314450</xdr:colOff>
      <xdr:row>15</xdr:row>
      <xdr:rowOff>47625</xdr:rowOff>
    </xdr:to>
    <xdr:sp macro="" textlink="">
      <xdr:nvSpPr>
        <xdr:cNvPr id="49" name="TextBox 48"/>
        <xdr:cNvSpPr txBox="1"/>
      </xdr:nvSpPr>
      <xdr:spPr bwMode="auto">
        <a:xfrm>
          <a:off x="2638425" y="2181225"/>
          <a:ext cx="971550" cy="295275"/>
        </a:xfrm>
        <a:prstGeom prst="rect">
          <a:avLst/>
        </a:prstGeom>
        <a:solidFill>
          <a:srgbClr val="CCFFFF"/>
        </a:solidFill>
        <a:ln w="9525">
          <a:noFill/>
          <a:miter lim="800000"/>
          <a:headEnd/>
          <a:tailEnd/>
        </a:ln>
      </xdr:spPr>
      <xdr:txBody>
        <a:bodyPr vertOverflow="clip" horzOverflow="clip" wrap="square" lIns="27432" tIns="27432" rIns="0" bIns="0" rtlCol="0" anchor="t" upright="1"/>
        <a:lstStyle/>
        <a:p>
          <a:pPr algn="ctr" rtl="0"/>
          <a:r>
            <a:rPr lang="en-US" sz="1400" b="1" i="0" strike="noStrike">
              <a:solidFill>
                <a:srgbClr val="FF0000"/>
              </a:solidFill>
              <a:latin typeface="Arial" panose="020B0604020202020204" pitchFamily="34" charset="0"/>
              <a:cs typeface="Arial" panose="020B0604020202020204" pitchFamily="34" charset="0"/>
            </a:rPr>
            <a:t>LM25180</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542925</xdr:colOff>
      <xdr:row>7</xdr:row>
      <xdr:rowOff>38100</xdr:rowOff>
    </xdr:from>
    <xdr:to>
      <xdr:col>10</xdr:col>
      <xdr:colOff>419100</xdr:colOff>
      <xdr:row>62</xdr:row>
      <xdr:rowOff>107170</xdr:rowOff>
    </xdr:to>
    <xdr:pic>
      <xdr:nvPicPr>
        <xdr:cNvPr id="8" name="Picture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 y="1704975"/>
          <a:ext cx="5972175" cy="8974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533400</xdr:colOff>
      <xdr:row>7</xdr:row>
      <xdr:rowOff>38100</xdr:rowOff>
    </xdr:from>
    <xdr:to>
      <xdr:col>21</xdr:col>
      <xdr:colOff>552450</xdr:colOff>
      <xdr:row>62</xdr:row>
      <xdr:rowOff>145539</xdr:rowOff>
    </xdr:to>
    <xdr:pic>
      <xdr:nvPicPr>
        <xdr:cNvPr id="10" name="Picture 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48600" y="1704975"/>
          <a:ext cx="6124575" cy="90133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447675</xdr:colOff>
          <xdr:row>6</xdr:row>
          <xdr:rowOff>19050</xdr:rowOff>
        </xdr:from>
        <xdr:to>
          <xdr:col>10</xdr:col>
          <xdr:colOff>666750</xdr:colOff>
          <xdr:row>7</xdr:row>
          <xdr:rowOff>95250</xdr:rowOff>
        </xdr:to>
        <xdr:sp macro="" textlink="">
          <xdr:nvSpPr>
            <xdr:cNvPr id="721921" name="Drop Down 1" hidden="1">
              <a:extLst>
                <a:ext uri="{63B3BB69-23CF-44E3-9099-C40C66FF867C}">
                  <a14:compatExt spid="_x0000_s721921"/>
                </a:ext>
              </a:extLst>
            </xdr:cNvPr>
            <xdr:cNvSpPr/>
          </xdr:nvSpPr>
          <xdr:spPr>
            <a:xfrm>
              <a:off x="0" y="0"/>
              <a:ext cx="0" cy="0"/>
            </a:xfrm>
            <a:prstGeom prst="rect">
              <a:avLst/>
            </a:prstGeom>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8</xdr:col>
      <xdr:colOff>152400</xdr:colOff>
      <xdr:row>9</xdr:row>
      <xdr:rowOff>0</xdr:rowOff>
    </xdr:from>
    <xdr:to>
      <xdr:col>23</xdr:col>
      <xdr:colOff>38100</xdr:colOff>
      <xdr:row>40</xdr:row>
      <xdr:rowOff>1732</xdr:rowOff>
    </xdr:to>
    <xdr:graphicFrame macro="">
      <xdr:nvGraphicFramePr>
        <xdr:cNvPr id="3"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142875</xdr:colOff>
      <xdr:row>40</xdr:row>
      <xdr:rowOff>123825</xdr:rowOff>
    </xdr:from>
    <xdr:to>
      <xdr:col>23</xdr:col>
      <xdr:colOff>19050</xdr:colOff>
      <xdr:row>71</xdr:row>
      <xdr:rowOff>125557</xdr:rowOff>
    </xdr:to>
    <xdr:graphicFrame macro="">
      <xdr:nvGraphicFramePr>
        <xdr:cNvPr id="4"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200025</xdr:colOff>
      <xdr:row>40</xdr:row>
      <xdr:rowOff>114300</xdr:rowOff>
    </xdr:from>
    <xdr:to>
      <xdr:col>46</xdr:col>
      <xdr:colOff>333375</xdr:colOff>
      <xdr:row>71</xdr:row>
      <xdr:rowOff>116032</xdr:rowOff>
    </xdr:to>
    <xdr:graphicFrame macro="">
      <xdr:nvGraphicFramePr>
        <xdr:cNvPr id="6"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228600</xdr:colOff>
      <xdr:row>9</xdr:row>
      <xdr:rowOff>28575</xdr:rowOff>
    </xdr:from>
    <xdr:to>
      <xdr:col>46</xdr:col>
      <xdr:colOff>361950</xdr:colOff>
      <xdr:row>40</xdr:row>
      <xdr:rowOff>30307</xdr:rowOff>
    </xdr:to>
    <xdr:graphicFrame macro="">
      <xdr:nvGraphicFramePr>
        <xdr:cNvPr id="7"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159205</xdr:colOff>
      <xdr:row>72</xdr:row>
      <xdr:rowOff>141513</xdr:rowOff>
    </xdr:from>
    <xdr:to>
      <xdr:col>23</xdr:col>
      <xdr:colOff>0</xdr:colOff>
      <xdr:row>101</xdr:row>
      <xdr:rowOff>123825</xdr:rowOff>
    </xdr:to>
    <xdr:graphicFrame macro="">
      <xdr:nvGraphicFramePr>
        <xdr:cNvPr id="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342900</xdr:colOff>
      <xdr:row>9</xdr:row>
      <xdr:rowOff>19050</xdr:rowOff>
    </xdr:from>
    <xdr:to>
      <xdr:col>27</xdr:col>
      <xdr:colOff>47625</xdr:colOff>
      <xdr:row>40</xdr:row>
      <xdr:rowOff>20782</xdr:rowOff>
    </xdr:to>
    <xdr:graphicFrame macro="">
      <xdr:nvGraphicFramePr>
        <xdr:cNvPr id="2"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352425</xdr:colOff>
      <xdr:row>41</xdr:row>
      <xdr:rowOff>0</xdr:rowOff>
    </xdr:from>
    <xdr:to>
      <xdr:col>27</xdr:col>
      <xdr:colOff>57150</xdr:colOff>
      <xdr:row>72</xdr:row>
      <xdr:rowOff>1732</xdr:rowOff>
    </xdr:to>
    <xdr:graphicFrame macro="">
      <xdr:nvGraphicFramePr>
        <xdr:cNvPr id="3"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194582</xdr:colOff>
      <xdr:row>41</xdr:row>
      <xdr:rowOff>21771</xdr:rowOff>
    </xdr:from>
    <xdr:to>
      <xdr:col>47</xdr:col>
      <xdr:colOff>123825</xdr:colOff>
      <xdr:row>72</xdr:row>
      <xdr:rowOff>23503</xdr:rowOff>
    </xdr:to>
    <xdr:graphicFrame macro="">
      <xdr:nvGraphicFramePr>
        <xdr:cNvPr id="4"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9</xdr:row>
      <xdr:rowOff>28575</xdr:rowOff>
    </xdr:from>
    <xdr:to>
      <xdr:col>47</xdr:col>
      <xdr:colOff>19050</xdr:colOff>
      <xdr:row>40</xdr:row>
      <xdr:rowOff>30307</xdr:rowOff>
    </xdr:to>
    <xdr:graphicFrame macro="">
      <xdr:nvGraphicFramePr>
        <xdr:cNvPr id="5"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329046</xdr:colOff>
      <xdr:row>72</xdr:row>
      <xdr:rowOff>138546</xdr:rowOff>
    </xdr:from>
    <xdr:to>
      <xdr:col>27</xdr:col>
      <xdr:colOff>33771</xdr:colOff>
      <xdr:row>103</xdr:row>
      <xdr:rowOff>140278</xdr:rowOff>
    </xdr:to>
    <xdr:graphicFrame macro="">
      <xdr:nvGraphicFramePr>
        <xdr:cNvPr id="6"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19</xdr:col>
      <xdr:colOff>0</xdr:colOff>
      <xdr:row>12</xdr:row>
      <xdr:rowOff>0</xdr:rowOff>
    </xdr:from>
    <xdr:to>
      <xdr:col>33</xdr:col>
      <xdr:colOff>248709</xdr:colOff>
      <xdr:row>40</xdr:row>
      <xdr:rowOff>61288</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85725</xdr:colOff>
      <xdr:row>111</xdr:row>
      <xdr:rowOff>114300</xdr:rowOff>
    </xdr:from>
    <xdr:to>
      <xdr:col>20</xdr:col>
      <xdr:colOff>161925</xdr:colOff>
      <xdr:row>144</xdr:row>
      <xdr:rowOff>76200</xdr:rowOff>
    </xdr:to>
    <xdr:graphicFrame macro="">
      <xdr:nvGraphicFramePr>
        <xdr:cNvPr id="3"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1600199</xdr:colOff>
      <xdr:row>4</xdr:row>
      <xdr:rowOff>95250</xdr:rowOff>
    </xdr:from>
    <xdr:to>
      <xdr:col>4</xdr:col>
      <xdr:colOff>3267074</xdr:colOff>
      <xdr:row>4</xdr:row>
      <xdr:rowOff>535385</xdr:rowOff>
    </xdr:to>
    <xdr:pic>
      <xdr:nvPicPr>
        <xdr:cNvPr id="4" name="Picture 84"/>
        <xdr:cNvPicPr>
          <a:picLocks noChangeAspect="1" noChangeArrowheads="1"/>
        </xdr:cNvPicPr>
      </xdr:nvPicPr>
      <xdr:blipFill>
        <a:blip xmlns:r="http://schemas.openxmlformats.org/officeDocument/2006/relationships" r:embed="rId2" cstate="print"/>
        <a:srcRect/>
        <a:stretch>
          <a:fillRect/>
        </a:stretch>
      </xdr:blipFill>
      <xdr:spPr bwMode="auto">
        <a:xfrm>
          <a:off x="4857749" y="800100"/>
          <a:ext cx="1666875" cy="440135"/>
        </a:xfrm>
        <a:prstGeom prst="rect">
          <a:avLst/>
        </a:prstGeom>
        <a:noFill/>
        <a:ln w="1">
          <a:noFill/>
          <a:miter lim="800000"/>
          <a:headEnd/>
          <a:tailEnd type="none" w="med" len="med"/>
        </a:ln>
        <a:effectLst/>
      </xdr:spPr>
    </xdr:pic>
    <xdr:clientData/>
  </xdr:twoCellAnchor>
  <xdr:twoCellAnchor>
    <xdr:from>
      <xdr:col>0</xdr:col>
      <xdr:colOff>95250</xdr:colOff>
      <xdr:row>148</xdr:row>
      <xdr:rowOff>76200</xdr:rowOff>
    </xdr:from>
    <xdr:to>
      <xdr:col>20</xdr:col>
      <xdr:colOff>687917</xdr:colOff>
      <xdr:row>181</xdr:row>
      <xdr:rowOff>38100</xdr:rowOff>
    </xdr:to>
    <xdr:graphicFrame macro="">
      <xdr:nvGraphicFramePr>
        <xdr:cNvPr id="8"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22</xdr:col>
          <xdr:colOff>180975</xdr:colOff>
          <xdr:row>111</xdr:row>
          <xdr:rowOff>142875</xdr:rowOff>
        </xdr:from>
        <xdr:to>
          <xdr:col>36</xdr:col>
          <xdr:colOff>9525</xdr:colOff>
          <xdr:row>125</xdr:row>
          <xdr:rowOff>142875</xdr:rowOff>
        </xdr:to>
        <xdr:sp macro="" textlink="">
          <xdr:nvSpPr>
            <xdr:cNvPr id="683009" name="Object 1" hidden="1">
              <a:extLst>
                <a:ext uri="{63B3BB69-23CF-44E3-9099-C40C66FF867C}">
                  <a14:compatExt spid="_x0000_s683009"/>
                </a:ext>
              </a:extLst>
            </xdr:cNvPr>
            <xdr:cNvSpPr/>
          </xdr:nvSpPr>
          <xdr:spPr>
            <a:xfrm>
              <a:off x="0" y="0"/>
              <a:ext cx="0" cy="0"/>
            </a:xfrm>
            <a:prstGeom prst="rect">
              <a:avLst/>
            </a:prstGeom>
          </xdr:spPr>
        </xdr:sp>
        <xdr:clientData/>
      </xdr:twoCellAnchor>
    </mc:Choice>
    <mc:Fallback/>
  </mc:AlternateContent>
  <xdr:twoCellAnchor>
    <xdr:from>
      <xdr:col>0</xdr:col>
      <xdr:colOff>392906</xdr:colOff>
      <xdr:row>218</xdr:row>
      <xdr:rowOff>130969</xdr:rowOff>
    </xdr:from>
    <xdr:to>
      <xdr:col>19</xdr:col>
      <xdr:colOff>626267</xdr:colOff>
      <xdr:row>250</xdr:row>
      <xdr:rowOff>124619</xdr:rowOff>
    </xdr:to>
    <xdr:graphicFrame macro="">
      <xdr:nvGraphicFramePr>
        <xdr:cNvPr id="13"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35718</xdr:colOff>
      <xdr:row>255</xdr:row>
      <xdr:rowOff>47626</xdr:rowOff>
    </xdr:from>
    <xdr:to>
      <xdr:col>13</xdr:col>
      <xdr:colOff>16668</xdr:colOff>
      <xdr:row>287</xdr:row>
      <xdr:rowOff>104776</xdr:rowOff>
    </xdr:to>
    <xdr:graphicFrame macro="">
      <xdr:nvGraphicFramePr>
        <xdr:cNvPr id="16"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28575</xdr:colOff>
      <xdr:row>289</xdr:row>
      <xdr:rowOff>66675</xdr:rowOff>
    </xdr:from>
    <xdr:to>
      <xdr:col>13</xdr:col>
      <xdr:colOff>9525</xdr:colOff>
      <xdr:row>321</xdr:row>
      <xdr:rowOff>123825</xdr:rowOff>
    </xdr:to>
    <xdr:graphicFrame macro="">
      <xdr:nvGraphicFramePr>
        <xdr:cNvPr id="15"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95251</xdr:colOff>
      <xdr:row>182</xdr:row>
      <xdr:rowOff>100853</xdr:rowOff>
    </xdr:from>
    <xdr:to>
      <xdr:col>20</xdr:col>
      <xdr:colOff>708023</xdr:colOff>
      <xdr:row>215</xdr:row>
      <xdr:rowOff>62753</xdr:rowOff>
    </xdr:to>
    <xdr:graphicFrame macro="">
      <xdr:nvGraphicFramePr>
        <xdr:cNvPr id="17"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56">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87.5%</a:t>
          </a:fld>
          <a:endParaRPr lang="en-US" sz="1100" b="1" i="0" u="none" strike="noStrike" baseline="0">
            <a:solidFill>
              <a:srgbClr val="000000"/>
            </a:solidFill>
            <a:latin typeface="Arial" pitchFamily="34" charset="0"/>
            <a:cs typeface="Arial" pitchFamily="34" charset="0"/>
          </a:endParaRP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bwMode="auto">
        <a:noFill/>
        <a:ln w="9525">
          <a:noFill/>
          <a:miter lim="800000"/>
          <a:headEnd/>
          <a:tailEnd/>
        </a:ln>
      </a:spPr>
      <a:bodyPr vertOverflow="clip" wrap="square" lIns="27432" tIns="27432" rIns="0" bIns="0" anchor="t" upright="1"/>
      <a:lstStyle>
        <a:defPPr algn="l" rtl="0">
          <a:defRPr sz="1100" b="0" i="0" strike="noStrike">
            <a:solidFill>
              <a:srgbClr val="000000"/>
            </a:solidFill>
            <a:latin typeface="Calibri"/>
          </a:defRPr>
        </a:defPPr>
      </a:lstStyle>
    </a:tx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drawing" Target="../drawings/drawing1.xml"/><Relationship Id="rId7" Type="http://schemas.openxmlformats.org/officeDocument/2006/relationships/ctrlProp" Target="../ctrlProps/ctrlProp2.xml"/><Relationship Id="rId12" Type="http://schemas.openxmlformats.org/officeDocument/2006/relationships/comments" Target="../comments1.xml"/><Relationship Id="rId2" Type="http://schemas.openxmlformats.org/officeDocument/2006/relationships/printerSettings" Target="../printerSettings/printerSettings1.bin"/><Relationship Id="rId1" Type="http://schemas.openxmlformats.org/officeDocument/2006/relationships/hyperlink" Target="http://www.ti.com/widevin"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2.vml"/><Relationship Id="rId10" Type="http://schemas.openxmlformats.org/officeDocument/2006/relationships/ctrlProp" Target="../ctrlProps/ctrlProp5.xml"/><Relationship Id="rId4" Type="http://schemas.openxmlformats.org/officeDocument/2006/relationships/vmlDrawing" Target="../drawings/vmlDrawing1.vml"/><Relationship Id="rId9" Type="http://schemas.openxmlformats.org/officeDocument/2006/relationships/ctrlProp" Target="../ctrlProps/ctrlProp4.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1.xml"/><Relationship Id="rId13" Type="http://schemas.openxmlformats.org/officeDocument/2006/relationships/ctrlProp" Target="../ctrlProps/ctrlProp16.xml"/><Relationship Id="rId18" Type="http://schemas.openxmlformats.org/officeDocument/2006/relationships/ctrlProp" Target="../ctrlProps/ctrlProp21.xml"/><Relationship Id="rId3" Type="http://schemas.openxmlformats.org/officeDocument/2006/relationships/vmlDrawing" Target="../drawings/vmlDrawing3.vml"/><Relationship Id="rId7" Type="http://schemas.openxmlformats.org/officeDocument/2006/relationships/ctrlProp" Target="../ctrlProps/ctrlProp10.xml"/><Relationship Id="rId12" Type="http://schemas.openxmlformats.org/officeDocument/2006/relationships/ctrlProp" Target="../ctrlProps/ctrlProp15.xml"/><Relationship Id="rId17" Type="http://schemas.openxmlformats.org/officeDocument/2006/relationships/ctrlProp" Target="../ctrlProps/ctrlProp20.xml"/><Relationship Id="rId2" Type="http://schemas.openxmlformats.org/officeDocument/2006/relationships/drawing" Target="../drawings/drawing2.xml"/><Relationship Id="rId16" Type="http://schemas.openxmlformats.org/officeDocument/2006/relationships/ctrlProp" Target="../ctrlProps/ctrlProp19.xml"/><Relationship Id="rId1" Type="http://schemas.openxmlformats.org/officeDocument/2006/relationships/printerSettings" Target="../printerSettings/printerSettings2.bin"/><Relationship Id="rId6" Type="http://schemas.openxmlformats.org/officeDocument/2006/relationships/ctrlProp" Target="../ctrlProps/ctrlProp9.xml"/><Relationship Id="rId11" Type="http://schemas.openxmlformats.org/officeDocument/2006/relationships/ctrlProp" Target="../ctrlProps/ctrlProp14.xml"/><Relationship Id="rId5" Type="http://schemas.openxmlformats.org/officeDocument/2006/relationships/ctrlProp" Target="../ctrlProps/ctrlProp8.xml"/><Relationship Id="rId15" Type="http://schemas.openxmlformats.org/officeDocument/2006/relationships/ctrlProp" Target="../ctrlProps/ctrlProp18.xml"/><Relationship Id="rId10" Type="http://schemas.openxmlformats.org/officeDocument/2006/relationships/ctrlProp" Target="../ctrlProps/ctrlProp13.xml"/><Relationship Id="rId4" Type="http://schemas.openxmlformats.org/officeDocument/2006/relationships/ctrlProp" Target="../ctrlProps/ctrlProp7.xml"/><Relationship Id="rId9" Type="http://schemas.openxmlformats.org/officeDocument/2006/relationships/ctrlProp" Target="../ctrlProps/ctrlProp12.xml"/><Relationship Id="rId14" Type="http://schemas.openxmlformats.org/officeDocument/2006/relationships/ctrlProp" Target="../ctrlProps/ctrlProp1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2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7.bin"/><Relationship Id="rId6" Type="http://schemas.openxmlformats.org/officeDocument/2006/relationships/comments" Target="../comments2.xml"/><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AI53"/>
  <sheetViews>
    <sheetView tabSelected="1" zoomScaleNormal="100" zoomScaleSheetLayoutView="70" workbookViewId="0">
      <selection activeCell="L11" sqref="L11"/>
    </sheetView>
  </sheetViews>
  <sheetFormatPr defaultColWidth="9.140625" defaultRowHeight="12.75" x14ac:dyDescent="0.2"/>
  <cols>
    <col min="1" max="1" width="8.28515625" style="109" customWidth="1"/>
    <col min="2" max="2" width="8.28515625" style="48" customWidth="1"/>
    <col min="3" max="3" width="13.5703125" style="48" customWidth="1"/>
    <col min="4" max="4" width="9.85546875" style="48" customWidth="1"/>
    <col min="5" max="5" width="9.140625" style="48" customWidth="1"/>
    <col min="6" max="6" width="8.7109375" style="48" customWidth="1"/>
    <col min="7" max="7" width="2.7109375" style="48" customWidth="1"/>
    <col min="8" max="9" width="8.28515625" style="48" customWidth="1"/>
    <col min="10" max="10" width="13.7109375" style="48" customWidth="1"/>
    <col min="11" max="11" width="10" style="48" customWidth="1"/>
    <col min="12" max="12" width="9.42578125" style="48" customWidth="1"/>
    <col min="13" max="13" width="8.7109375" style="48" customWidth="1"/>
    <col min="14" max="15" width="9.140625" style="48"/>
    <col min="16" max="18" width="10.140625" style="48" customWidth="1"/>
    <col min="19" max="19" width="10" style="48" bestFit="1" customWidth="1"/>
    <col min="20" max="25" width="9.140625" style="48"/>
    <col min="26" max="26" width="29" style="48" customWidth="1"/>
    <col min="27" max="27" width="3.140625" style="48" customWidth="1"/>
    <col min="28" max="16384" width="9.140625" style="48"/>
  </cols>
  <sheetData>
    <row r="1" spans="1:27" ht="47.25" customHeight="1" x14ac:dyDescent="0.2">
      <c r="A1" s="533" t="s">
        <v>706</v>
      </c>
      <c r="B1" s="531"/>
      <c r="C1" s="531"/>
      <c r="D1" s="531"/>
      <c r="E1" s="531"/>
      <c r="F1" s="531"/>
      <c r="G1" s="531"/>
      <c r="H1" s="531"/>
      <c r="I1" s="531"/>
      <c r="J1" s="531"/>
      <c r="K1" s="531"/>
      <c r="L1" s="531"/>
      <c r="M1" s="531"/>
      <c r="N1" s="531"/>
      <c r="O1" s="531"/>
      <c r="P1" s="531"/>
      <c r="Q1" s="531"/>
      <c r="R1" s="532"/>
      <c r="S1" s="532"/>
      <c r="T1" s="532"/>
      <c r="U1" s="532"/>
      <c r="V1" s="424"/>
      <c r="W1" s="424"/>
      <c r="X1" s="424"/>
      <c r="Y1" s="424"/>
      <c r="Z1" s="424"/>
      <c r="AA1" s="424"/>
    </row>
    <row r="2" spans="1:27" ht="14.1" customHeight="1" x14ac:dyDescent="0.45">
      <c r="A2" s="405"/>
      <c r="B2" s="406"/>
      <c r="C2" s="406"/>
      <c r="D2" s="406"/>
      <c r="E2" s="406"/>
      <c r="F2" s="406"/>
      <c r="G2" s="406"/>
      <c r="H2" s="406"/>
      <c r="I2" s="406"/>
      <c r="J2" s="406"/>
      <c r="K2" s="406"/>
      <c r="L2" s="406"/>
      <c r="M2" s="406"/>
      <c r="N2" s="406"/>
      <c r="O2" s="419"/>
      <c r="P2" s="406"/>
      <c r="Q2" s="406"/>
      <c r="R2" s="414"/>
      <c r="S2" s="512"/>
      <c r="T2" s="512"/>
      <c r="U2" s="512"/>
      <c r="V2" s="512"/>
      <c r="W2" s="512"/>
      <c r="X2" s="512"/>
      <c r="Y2" s="512"/>
      <c r="Z2" s="512"/>
      <c r="AA2" s="512"/>
    </row>
    <row r="3" spans="1:27" ht="15.95" customHeight="1" x14ac:dyDescent="0.45">
      <c r="A3" s="407" t="s">
        <v>105</v>
      </c>
      <c r="B3" s="408"/>
      <c r="C3" s="420" t="s">
        <v>106</v>
      </c>
      <c r="D3" s="409"/>
      <c r="E3" s="85"/>
      <c r="F3" s="411" t="s">
        <v>59</v>
      </c>
      <c r="G3" s="410"/>
      <c r="H3" s="406"/>
      <c r="I3" s="406"/>
      <c r="J3" s="410"/>
      <c r="K3" s="412"/>
      <c r="L3" s="413"/>
      <c r="M3" s="414"/>
      <c r="N3" s="414"/>
      <c r="O3" s="512"/>
      <c r="P3" s="2"/>
      <c r="Q3" s="414" t="s">
        <v>77</v>
      </c>
      <c r="R3" s="414"/>
      <c r="S3" s="512"/>
      <c r="T3" s="512"/>
      <c r="U3" s="534" t="s">
        <v>319</v>
      </c>
      <c r="V3" s="512"/>
      <c r="W3" s="512"/>
      <c r="X3" s="512"/>
      <c r="Y3" s="512"/>
      <c r="Z3" s="512"/>
      <c r="AA3" s="512"/>
    </row>
    <row r="4" spans="1:27" ht="14.1" customHeight="1" thickBot="1" x14ac:dyDescent="0.35">
      <c r="A4" s="415"/>
      <c r="B4" s="416"/>
      <c r="C4" s="417"/>
      <c r="D4" s="417"/>
      <c r="E4" s="417"/>
      <c r="F4" s="417"/>
      <c r="G4" s="417"/>
      <c r="H4" s="417"/>
      <c r="I4" s="417"/>
      <c r="J4" s="417"/>
      <c r="K4" s="417"/>
      <c r="L4" s="417"/>
      <c r="M4" s="418"/>
      <c r="N4" s="418"/>
      <c r="O4" s="418"/>
      <c r="P4" s="418"/>
      <c r="Q4" s="418"/>
      <c r="R4" s="414"/>
      <c r="S4" s="512"/>
      <c r="T4" s="512"/>
      <c r="U4" s="512"/>
      <c r="V4" s="512"/>
      <c r="W4" s="512"/>
      <c r="X4" s="512"/>
      <c r="Y4" s="512"/>
      <c r="Z4" s="512"/>
      <c r="AA4" s="512"/>
    </row>
    <row r="5" spans="1:27" ht="19.5" customHeight="1" thickBot="1" x14ac:dyDescent="0.35">
      <c r="A5" s="108" t="s">
        <v>101</v>
      </c>
      <c r="B5" s="83"/>
      <c r="C5" s="49"/>
      <c r="D5" s="49"/>
      <c r="E5" s="50"/>
      <c r="F5" s="49"/>
      <c r="G5" s="74"/>
      <c r="H5" s="604" t="s">
        <v>366</v>
      </c>
      <c r="I5" s="94"/>
      <c r="J5" s="95"/>
      <c r="K5" s="95"/>
      <c r="L5" s="96"/>
      <c r="M5" s="362"/>
      <c r="N5" s="51"/>
      <c r="O5" s="51"/>
      <c r="P5" s="51"/>
      <c r="Q5" s="51"/>
      <c r="R5" s="513"/>
      <c r="S5" s="513"/>
      <c r="T5" s="513"/>
      <c r="U5" s="513"/>
      <c r="V5" s="513"/>
      <c r="W5" s="513"/>
      <c r="X5" s="513"/>
      <c r="Y5" s="513"/>
      <c r="Z5" s="517"/>
      <c r="AA5" s="512"/>
    </row>
    <row r="6" spans="1:27" ht="15.75" customHeight="1" x14ac:dyDescent="0.2">
      <c r="A6" s="143"/>
      <c r="B6" s="144"/>
      <c r="C6" s="145"/>
      <c r="D6" s="146" t="s">
        <v>374</v>
      </c>
      <c r="E6" s="147">
        <v>10</v>
      </c>
      <c r="F6" s="434" t="s">
        <v>0</v>
      </c>
      <c r="G6" s="92"/>
      <c r="H6" s="465"/>
      <c r="I6" s="521"/>
      <c r="J6" s="212"/>
      <c r="K6" s="522" t="s">
        <v>685</v>
      </c>
      <c r="L6" s="652">
        <f>Lmin</f>
        <v>41.810344827586214</v>
      </c>
      <c r="M6" s="655" t="s">
        <v>96</v>
      </c>
      <c r="N6" s="51"/>
      <c r="O6" s="51"/>
      <c r="P6" s="51"/>
      <c r="Q6" s="51"/>
      <c r="R6" s="84"/>
      <c r="S6" s="84"/>
      <c r="T6" s="77"/>
      <c r="U6" s="77"/>
      <c r="V6" s="77"/>
      <c r="W6" s="77"/>
      <c r="X6" s="77"/>
      <c r="Y6" s="77"/>
      <c r="Z6" s="518"/>
      <c r="AA6" s="512"/>
    </row>
    <row r="7" spans="1:27" ht="14.25" customHeight="1" x14ac:dyDescent="0.25">
      <c r="A7" s="137"/>
      <c r="B7" s="136"/>
      <c r="C7" s="138"/>
      <c r="D7" s="148" t="s">
        <v>375</v>
      </c>
      <c r="E7" s="149">
        <v>12</v>
      </c>
      <c r="F7" s="435" t="s">
        <v>0</v>
      </c>
      <c r="G7" s="92"/>
      <c r="H7" s="90"/>
      <c r="I7" s="91"/>
      <c r="J7" s="89"/>
      <c r="K7" s="102" t="s">
        <v>372</v>
      </c>
      <c r="L7" s="149">
        <v>47</v>
      </c>
      <c r="M7" s="435" t="s">
        <v>96</v>
      </c>
      <c r="N7" s="51"/>
      <c r="O7" s="51"/>
      <c r="P7" s="51"/>
      <c r="Q7" s="51"/>
      <c r="R7" s="84"/>
      <c r="S7" s="84"/>
      <c r="T7" s="77"/>
      <c r="U7" s="77"/>
      <c r="V7" s="77"/>
      <c r="W7" s="77"/>
      <c r="X7" s="77"/>
      <c r="Y7" s="77"/>
      <c r="Z7" s="518"/>
      <c r="AA7" s="512"/>
    </row>
    <row r="8" spans="1:27" ht="15.75" customHeight="1" x14ac:dyDescent="0.2">
      <c r="A8" s="137"/>
      <c r="B8" s="136"/>
      <c r="C8" s="138"/>
      <c r="D8" s="148" t="s">
        <v>376</v>
      </c>
      <c r="E8" s="149">
        <v>15</v>
      </c>
      <c r="F8" s="435" t="s">
        <v>0</v>
      </c>
      <c r="G8" s="92"/>
      <c r="H8" s="90"/>
      <c r="I8" s="91"/>
      <c r="J8" s="89"/>
      <c r="K8" s="102" t="s">
        <v>542</v>
      </c>
      <c r="L8" s="149">
        <v>200</v>
      </c>
      <c r="M8" s="435" t="s">
        <v>20</v>
      </c>
      <c r="N8" s="51"/>
      <c r="O8" s="51"/>
      <c r="P8" s="51"/>
      <c r="Q8" s="51"/>
      <c r="R8" s="84"/>
      <c r="S8" s="84"/>
      <c r="T8" s="77"/>
      <c r="U8" s="77"/>
      <c r="V8" s="77"/>
      <c r="W8" s="77"/>
      <c r="X8" s="77"/>
      <c r="Y8" s="77"/>
      <c r="Z8" s="518"/>
      <c r="AA8" s="512"/>
    </row>
    <row r="9" spans="1:27" ht="15.75" customHeight="1" x14ac:dyDescent="0.2">
      <c r="A9" s="137"/>
      <c r="B9" s="136"/>
      <c r="C9" s="138"/>
      <c r="D9" s="148" t="s">
        <v>373</v>
      </c>
      <c r="E9" s="602">
        <v>32</v>
      </c>
      <c r="F9" s="150"/>
      <c r="G9" s="92"/>
      <c r="H9" s="90"/>
      <c r="I9" s="91"/>
      <c r="J9" s="89"/>
      <c r="K9" s="102" t="str">
        <f>CHOOSE(MODE, "Secondary Winding DCR", "Secondary Winding #1 DCR")</f>
        <v>Secondary Winding DCR</v>
      </c>
      <c r="L9" s="149">
        <v>200</v>
      </c>
      <c r="M9" s="435" t="s">
        <v>20</v>
      </c>
      <c r="N9" s="51"/>
      <c r="O9" s="51"/>
      <c r="P9" s="51"/>
      <c r="Q9" s="51"/>
      <c r="R9" s="84"/>
      <c r="S9" s="84"/>
      <c r="T9" s="77"/>
      <c r="U9" s="77"/>
      <c r="V9" s="77"/>
      <c r="W9" s="77"/>
      <c r="X9" s="77"/>
      <c r="Y9" s="77"/>
      <c r="Z9" s="518"/>
      <c r="AA9" s="512"/>
    </row>
    <row r="10" spans="1:27" ht="15.75" customHeight="1" x14ac:dyDescent="0.2">
      <c r="A10" s="137"/>
      <c r="B10" s="136"/>
      <c r="C10" s="138"/>
      <c r="D10" s="148" t="str">
        <f>CHOOSE(MODE, "Output Voltage, VOUT ", "Output Voltage, VOUT1")</f>
        <v xml:space="preserve">Output Voltage, VOUT </v>
      </c>
      <c r="E10" s="149">
        <v>24</v>
      </c>
      <c r="F10" s="435" t="s">
        <v>0</v>
      </c>
      <c r="G10" s="92"/>
      <c r="H10" s="90"/>
      <c r="I10" s="91"/>
      <c r="J10" s="89"/>
      <c r="K10" s="102" t="str">
        <f>CHOOSE(MODE, "", "Secondary Winding #2 DCR")</f>
        <v/>
      </c>
      <c r="L10" s="149">
        <v>100</v>
      </c>
      <c r="M10" s="435" t="str">
        <f>CHOOSE(MODE, "", "mΩ")</f>
        <v/>
      </c>
      <c r="N10" s="51"/>
      <c r="O10" s="51"/>
      <c r="P10" s="51"/>
      <c r="Q10" s="51"/>
      <c r="R10" s="84"/>
      <c r="S10" s="84"/>
      <c r="T10" s="77"/>
      <c r="U10" s="77"/>
      <c r="V10" s="77"/>
      <c r="W10" s="77"/>
      <c r="X10" s="77"/>
      <c r="Y10" s="77"/>
      <c r="Z10" s="518"/>
      <c r="AA10" s="512"/>
    </row>
    <row r="11" spans="1:27" ht="15.75" customHeight="1" thickBot="1" x14ac:dyDescent="0.25">
      <c r="A11" s="140"/>
      <c r="B11" s="157"/>
      <c r="C11" s="519"/>
      <c r="D11" s="525" t="str">
        <f>CHOOSE(MODE, "Rated Output Current, IOUT ", "Rated Output Current, IOUT1")</f>
        <v xml:space="preserve">Rated Output Current, IOUT </v>
      </c>
      <c r="E11" s="526">
        <v>0.11</v>
      </c>
      <c r="F11" s="527" t="s">
        <v>1</v>
      </c>
      <c r="G11" s="92"/>
      <c r="H11" s="90"/>
      <c r="I11" s="77"/>
      <c r="J11" s="77"/>
      <c r="K11" s="102" t="s">
        <v>689</v>
      </c>
      <c r="L11" s="149">
        <v>370</v>
      </c>
      <c r="M11" s="435" t="s">
        <v>688</v>
      </c>
      <c r="N11" s="51"/>
      <c r="O11" s="51"/>
      <c r="P11" s="51"/>
      <c r="Q11" s="51"/>
      <c r="R11" s="84"/>
      <c r="S11" s="84"/>
      <c r="T11" s="77"/>
      <c r="U11" s="77"/>
      <c r="V11" s="77"/>
      <c r="W11" s="77"/>
      <c r="X11" s="77"/>
      <c r="Y11" s="77"/>
      <c r="Z11" s="518"/>
      <c r="AA11" s="512"/>
    </row>
    <row r="12" spans="1:27" ht="15.75" customHeight="1" x14ac:dyDescent="0.2">
      <c r="A12" s="77"/>
      <c r="B12" s="77"/>
      <c r="C12" s="77"/>
      <c r="D12" s="148" t="str">
        <f>CHOOSE(MODE, "", "Output Voltage, VOUT2")</f>
        <v/>
      </c>
      <c r="E12" s="149">
        <v>-12</v>
      </c>
      <c r="F12" s="435" t="str">
        <f>CHOOSE(MODE, "", "V", "V")</f>
        <v/>
      </c>
      <c r="G12" s="92"/>
      <c r="H12" s="90"/>
      <c r="I12" s="91"/>
      <c r="J12" s="89"/>
      <c r="K12" s="88" t="str">
        <f>IF(MODE=1, "Transformer Turns Ratio, Pri : Sec", "Turns Ratio, PRI : SEC1")</f>
        <v>Transformer Turns Ratio, Pri : Sec</v>
      </c>
      <c r="L12" s="443"/>
      <c r="M12" s="464"/>
      <c r="N12" s="51"/>
      <c r="O12" s="51"/>
      <c r="P12" s="51"/>
      <c r="Q12" s="51"/>
      <c r="R12" s="84"/>
      <c r="S12" s="84"/>
      <c r="T12" s="77"/>
      <c r="U12" s="77"/>
      <c r="V12" s="77"/>
      <c r="W12" s="77"/>
      <c r="X12" s="77"/>
      <c r="Y12" s="77"/>
      <c r="Z12" s="518"/>
      <c r="AA12" s="512"/>
    </row>
    <row r="13" spans="1:27" ht="15.75" customHeight="1" thickBot="1" x14ac:dyDescent="0.25">
      <c r="A13" s="140"/>
      <c r="B13" s="157"/>
      <c r="C13" s="519"/>
      <c r="D13" s="525" t="str">
        <f>CHOOSE(MODE, "", "Rated Output Current, IOUT2")</f>
        <v/>
      </c>
      <c r="E13" s="526">
        <v>0.2</v>
      </c>
      <c r="F13" s="527" t="str">
        <f>CHOOSE(MODE, "", "A", "A")</f>
        <v/>
      </c>
      <c r="G13" s="92"/>
      <c r="H13" s="137"/>
      <c r="I13" s="136"/>
      <c r="J13" s="138"/>
      <c r="K13" s="89" t="str">
        <f>CHOOSE(MODE, "Diode Max Rev Voltage (Spike Not Included)", "Turns Ratio, SEC1 : SEC2")</f>
        <v>Diode Max Rev Voltage (Spike Not Included)</v>
      </c>
      <c r="L13" s="653">
        <f>CHOOSE(MODE, ROUND(VRRM_DIODE,0), ROUND(Nsec1sec2,2))</f>
        <v>39</v>
      </c>
      <c r="M13" s="464" t="str">
        <f>CHOOSE(MODE, "V", "")</f>
        <v>V</v>
      </c>
      <c r="N13" s="51"/>
      <c r="O13" s="51"/>
      <c r="P13" s="51"/>
      <c r="Q13" s="51"/>
      <c r="R13" s="84"/>
      <c r="S13" s="84"/>
      <c r="T13" s="77"/>
      <c r="U13" s="77"/>
      <c r="V13" s="77"/>
      <c r="W13" s="77"/>
      <c r="X13" s="77"/>
      <c r="Y13" s="77"/>
      <c r="Z13" s="518"/>
      <c r="AA13" s="512"/>
    </row>
    <row r="14" spans="1:27" ht="15.75" customHeight="1" x14ac:dyDescent="0.2">
      <c r="A14" s="432"/>
      <c r="B14" s="77"/>
      <c r="C14" s="77"/>
      <c r="D14" s="77"/>
      <c r="E14" s="77"/>
      <c r="F14" s="528"/>
      <c r="G14" s="93"/>
      <c r="H14" s="137"/>
      <c r="I14" s="136"/>
      <c r="J14" s="622"/>
      <c r="K14" s="138" t="s">
        <v>683</v>
      </c>
      <c r="L14" s="657">
        <f>Don_Vinmin*100</f>
        <v>70.845481049562693</v>
      </c>
      <c r="M14" s="658" t="s">
        <v>684</v>
      </c>
      <c r="N14" s="51"/>
      <c r="O14" s="51"/>
      <c r="P14" s="51"/>
      <c r="Q14" s="51"/>
      <c r="R14" s="84"/>
      <c r="S14" s="84"/>
      <c r="T14" s="77"/>
      <c r="U14" s="77"/>
      <c r="V14" s="77"/>
      <c r="W14" s="77"/>
      <c r="X14" s="77"/>
      <c r="Y14" s="77"/>
      <c r="Z14" s="518"/>
      <c r="AA14" s="512"/>
    </row>
    <row r="15" spans="1:27" ht="19.5" customHeight="1" thickBot="1" x14ac:dyDescent="0.35">
      <c r="A15" s="108" t="s">
        <v>299</v>
      </c>
      <c r="B15" s="94"/>
      <c r="C15" s="95"/>
      <c r="D15" s="95"/>
      <c r="E15" s="96"/>
      <c r="F15" s="95"/>
      <c r="G15" s="92"/>
      <c r="H15" s="623"/>
      <c r="I15" s="516"/>
      <c r="J15" s="516"/>
      <c r="K15" s="519" t="s">
        <v>624</v>
      </c>
      <c r="L15" s="660">
        <f>'Variable Mgmt'!B38</f>
        <v>4.8765510948905106</v>
      </c>
      <c r="M15" s="659" t="s">
        <v>45</v>
      </c>
      <c r="N15" s="51"/>
      <c r="O15" s="51"/>
      <c r="P15" s="51"/>
      <c r="Q15" s="51"/>
      <c r="R15" s="84"/>
      <c r="S15" s="84"/>
      <c r="T15" s="77"/>
      <c r="U15" s="77"/>
      <c r="V15" s="77"/>
      <c r="W15" s="77"/>
      <c r="X15" s="77"/>
      <c r="Y15" s="77"/>
      <c r="Z15" s="518"/>
      <c r="AA15" s="512"/>
    </row>
    <row r="16" spans="1:27" ht="15.75" customHeight="1" x14ac:dyDescent="0.2">
      <c r="A16" s="392"/>
      <c r="B16" s="595"/>
      <c r="C16" s="596"/>
      <c r="D16" s="212" t="s">
        <v>318</v>
      </c>
      <c r="E16" s="632">
        <f>'Variable Mgmt'!B119</f>
        <v>2.2000000000000002</v>
      </c>
      <c r="F16" s="436" t="s">
        <v>97</v>
      </c>
      <c r="G16" s="92"/>
      <c r="H16" s="91"/>
      <c r="I16" s="51"/>
      <c r="J16" s="51"/>
      <c r="K16" s="89"/>
      <c r="L16" s="51"/>
      <c r="M16" s="91"/>
      <c r="N16" s="51"/>
      <c r="O16" s="51"/>
      <c r="P16" s="51"/>
      <c r="Q16" s="51"/>
      <c r="R16" s="84"/>
      <c r="S16" s="84"/>
      <c r="T16" s="77"/>
      <c r="U16" s="77"/>
      <c r="V16" s="77"/>
      <c r="W16" s="77"/>
      <c r="X16" s="77"/>
      <c r="Y16" s="77"/>
      <c r="Z16" s="518"/>
      <c r="AA16" s="512"/>
    </row>
    <row r="17" spans="1:27" ht="15.75" customHeight="1" x14ac:dyDescent="0.25">
      <c r="A17" s="99"/>
      <c r="B17" s="91"/>
      <c r="C17" s="98"/>
      <c r="D17" s="102" t="s">
        <v>141</v>
      </c>
      <c r="E17" s="100">
        <v>22</v>
      </c>
      <c r="F17" s="437" t="s">
        <v>97</v>
      </c>
      <c r="G17" s="92"/>
      <c r="H17" s="91"/>
      <c r="I17" s="51"/>
      <c r="J17" s="51"/>
      <c r="K17" s="51"/>
      <c r="L17" s="51"/>
      <c r="M17" s="51"/>
      <c r="N17" s="51"/>
      <c r="O17" s="51"/>
      <c r="P17" s="51"/>
      <c r="Q17" s="51"/>
      <c r="R17" s="84"/>
      <c r="S17" s="84"/>
      <c r="T17" s="77"/>
      <c r="U17" s="77"/>
      <c r="V17" s="77"/>
      <c r="W17" s="77"/>
      <c r="X17" s="77"/>
      <c r="Y17" s="77"/>
      <c r="Z17" s="518"/>
      <c r="AA17" s="512"/>
    </row>
    <row r="18" spans="1:27" ht="15.75" customHeight="1" x14ac:dyDescent="0.2">
      <c r="A18" s="99"/>
      <c r="B18" s="91"/>
      <c r="C18" s="154"/>
      <c r="D18" s="148" t="s">
        <v>104</v>
      </c>
      <c r="E18" s="153">
        <v>5</v>
      </c>
      <c r="F18" s="438" t="s">
        <v>20</v>
      </c>
      <c r="G18" s="92"/>
      <c r="H18" s="91"/>
      <c r="I18" s="51"/>
      <c r="J18" s="51"/>
      <c r="K18" s="51"/>
      <c r="L18" s="51"/>
      <c r="M18" s="51"/>
      <c r="N18" s="51"/>
      <c r="O18" s="51"/>
      <c r="P18" s="51"/>
      <c r="Q18" s="51"/>
      <c r="R18" s="84"/>
      <c r="S18" s="84"/>
      <c r="T18" s="77"/>
      <c r="U18" s="77"/>
      <c r="V18" s="77"/>
      <c r="W18" s="77"/>
      <c r="X18" s="77"/>
      <c r="Y18" s="77"/>
      <c r="Z18" s="518"/>
      <c r="AA18" s="512"/>
    </row>
    <row r="19" spans="1:27" ht="15.75" customHeight="1" thickBot="1" x14ac:dyDescent="0.35">
      <c r="A19" s="103"/>
      <c r="B19" s="104"/>
      <c r="C19" s="110"/>
      <c r="D19" s="214" t="s">
        <v>510</v>
      </c>
      <c r="E19" s="215">
        <f>Vinripple2*1000</f>
        <v>17.586727389259234</v>
      </c>
      <c r="F19" s="107" t="s">
        <v>103</v>
      </c>
      <c r="G19" s="92"/>
      <c r="H19" s="91"/>
      <c r="I19" s="51"/>
      <c r="J19" s="51"/>
      <c r="K19" s="51"/>
      <c r="L19" s="51"/>
      <c r="M19" s="51"/>
      <c r="N19" s="51"/>
      <c r="O19" s="51"/>
      <c r="P19" s="51"/>
      <c r="Q19" s="51"/>
      <c r="R19" s="84"/>
      <c r="S19" s="84"/>
      <c r="T19" s="77"/>
      <c r="U19" s="77"/>
      <c r="V19" s="77"/>
      <c r="W19" s="77"/>
      <c r="X19" s="77"/>
      <c r="Y19" s="77"/>
      <c r="Z19" s="518"/>
      <c r="AA19" s="512"/>
    </row>
    <row r="20" spans="1:27" ht="15.75" customHeight="1" thickBot="1" x14ac:dyDescent="0.25">
      <c r="A20" s="429"/>
      <c r="B20" s="430"/>
      <c r="C20" s="431"/>
      <c r="D20" s="431" t="str">
        <f>CHOOSE(MODE, "Minimum Output Capacitance", "Minimum Output Capacitance, Output #1")</f>
        <v>Minimum Output Capacitance</v>
      </c>
      <c r="E20" s="651">
        <f>'Variable Mgmt'!B94</f>
        <v>4.7</v>
      </c>
      <c r="F20" s="436" t="s">
        <v>97</v>
      </c>
      <c r="G20" s="606"/>
      <c r="H20" s="596"/>
      <c r="I20" s="605"/>
      <c r="J20" s="513"/>
      <c r="K20" s="431" t="str">
        <f>CHOOSE(MODE, "", "Minimum Output Capacitance, Output #2")</f>
        <v/>
      </c>
      <c r="L20" s="651">
        <f>'Variable Mgmt'!B104</f>
        <v>8.6281425212515845</v>
      </c>
      <c r="M20" s="436" t="s">
        <v>97</v>
      </c>
      <c r="N20" s="51"/>
      <c r="O20" s="51"/>
      <c r="P20" s="51"/>
      <c r="Q20" s="51"/>
      <c r="R20" s="84"/>
      <c r="S20" s="84"/>
      <c r="T20" s="77"/>
      <c r="U20" s="77"/>
      <c r="V20" s="77"/>
      <c r="W20" s="77"/>
      <c r="X20" s="77"/>
      <c r="Y20" s="77"/>
      <c r="Z20" s="518"/>
      <c r="AA20" s="512"/>
    </row>
    <row r="21" spans="1:27" ht="15.75" customHeight="1" x14ac:dyDescent="0.2">
      <c r="A21" s="90"/>
      <c r="B21" s="91"/>
      <c r="C21" s="138"/>
      <c r="D21" s="155" t="s">
        <v>140</v>
      </c>
      <c r="E21" s="149">
        <v>100</v>
      </c>
      <c r="F21" s="435" t="s">
        <v>97</v>
      </c>
      <c r="G21" s="607"/>
      <c r="H21" s="91"/>
      <c r="I21" s="51"/>
      <c r="J21" s="77"/>
      <c r="K21" s="155" t="s">
        <v>550</v>
      </c>
      <c r="L21" s="149">
        <v>47</v>
      </c>
      <c r="M21" s="435" t="s">
        <v>97</v>
      </c>
      <c r="N21" s="51"/>
      <c r="O21" s="51"/>
      <c r="P21" s="51"/>
      <c r="Q21" s="51"/>
      <c r="R21" s="84"/>
      <c r="S21" s="84"/>
      <c r="T21" s="77"/>
      <c r="U21" s="77"/>
      <c r="V21" s="77"/>
      <c r="W21" s="77"/>
      <c r="X21" s="77"/>
      <c r="Y21" s="77"/>
      <c r="Z21" s="518"/>
      <c r="AA21" s="512"/>
    </row>
    <row r="22" spans="1:27" ht="16.5" customHeight="1" thickBot="1" x14ac:dyDescent="0.25">
      <c r="A22" s="90"/>
      <c r="B22" s="91"/>
      <c r="C22" s="154"/>
      <c r="D22" s="148" t="s">
        <v>551</v>
      </c>
      <c r="E22" s="153">
        <v>3</v>
      </c>
      <c r="F22" s="438" t="s">
        <v>20</v>
      </c>
      <c r="G22" s="608"/>
      <c r="H22" s="91"/>
      <c r="I22" s="51"/>
      <c r="J22" s="77"/>
      <c r="K22" s="148" t="s">
        <v>551</v>
      </c>
      <c r="L22" s="153">
        <v>3</v>
      </c>
      <c r="M22" s="438" t="s">
        <v>20</v>
      </c>
      <c r="N22" s="51"/>
      <c r="O22" s="51"/>
      <c r="P22" s="51"/>
      <c r="Q22" s="51"/>
      <c r="R22" s="84"/>
      <c r="S22" s="84"/>
      <c r="T22" s="77"/>
      <c r="U22" s="77"/>
      <c r="V22" s="77"/>
      <c r="W22" s="77"/>
      <c r="X22" s="77"/>
      <c r="Y22" s="77"/>
      <c r="Z22" s="518"/>
      <c r="AA22" s="512"/>
    </row>
    <row r="23" spans="1:27" ht="15.75" customHeight="1" thickBot="1" x14ac:dyDescent="0.35">
      <c r="A23" s="103"/>
      <c r="B23" s="106"/>
      <c r="C23" s="106"/>
      <c r="D23" s="214" t="str">
        <f>CHOOSE(MODE, "Resulting Output Voltage Ripple", "Resulting Output Voltage Ripple, Output #1")</f>
        <v>Resulting Output Voltage Ripple</v>
      </c>
      <c r="E23" s="215">
        <f>Vripple1_actual</f>
        <v>3.3128721287755472</v>
      </c>
      <c r="F23" s="107" t="s">
        <v>103</v>
      </c>
      <c r="G23" s="606"/>
      <c r="H23" s="106"/>
      <c r="I23" s="516"/>
      <c r="J23" s="515"/>
      <c r="K23" s="214" t="str">
        <f>CHOOSE(MODE, "", "Resulting Output Voltage Ripple, Output #2")</f>
        <v/>
      </c>
      <c r="L23" s="215">
        <f>Vripple2_actual</f>
        <v>33.530396988325862</v>
      </c>
      <c r="M23" s="107" t="s">
        <v>103</v>
      </c>
      <c r="N23" s="51"/>
      <c r="O23" s="51"/>
      <c r="P23" s="51"/>
      <c r="Q23" s="51"/>
      <c r="R23" s="84"/>
      <c r="S23" s="84"/>
      <c r="T23" s="77"/>
      <c r="U23" s="77"/>
      <c r="V23" s="77"/>
      <c r="W23" s="77"/>
      <c r="X23" s="77"/>
      <c r="Y23" s="77"/>
      <c r="Z23" s="518"/>
      <c r="AA23" s="512"/>
    </row>
    <row r="24" spans="1:27" ht="13.5" customHeight="1" x14ac:dyDescent="0.2">
      <c r="A24" s="432"/>
      <c r="B24" s="77"/>
      <c r="C24" s="77"/>
      <c r="D24" s="77"/>
      <c r="E24" s="77"/>
      <c r="F24" s="77"/>
      <c r="G24" s="77"/>
      <c r="H24" s="77"/>
      <c r="I24" s="77"/>
      <c r="J24" s="77"/>
      <c r="K24" s="77"/>
      <c r="L24" s="77"/>
      <c r="M24" s="77"/>
      <c r="N24" s="51"/>
      <c r="O24" s="51"/>
      <c r="P24" s="51"/>
      <c r="Q24" s="51"/>
      <c r="R24" s="84"/>
      <c r="S24" s="84"/>
      <c r="T24" s="77"/>
      <c r="U24" s="77"/>
      <c r="V24" s="77"/>
      <c r="W24" s="77"/>
      <c r="X24" s="77"/>
      <c r="Y24" s="77"/>
      <c r="Z24" s="518"/>
      <c r="AA24" s="512"/>
    </row>
    <row r="25" spans="1:27" ht="19.5" customHeight="1" thickBot="1" x14ac:dyDescent="0.35">
      <c r="A25" s="108" t="s">
        <v>393</v>
      </c>
      <c r="B25" s="97"/>
      <c r="C25" s="91"/>
      <c r="D25" s="89"/>
      <c r="E25" s="91"/>
      <c r="F25" s="91"/>
      <c r="G25" s="91"/>
      <c r="H25" s="91"/>
      <c r="I25" s="51"/>
      <c r="J25" s="51"/>
      <c r="K25" s="51"/>
      <c r="L25" s="51"/>
      <c r="M25" s="51"/>
      <c r="N25" s="51"/>
      <c r="O25" s="51"/>
      <c r="P25" s="51"/>
      <c r="Q25" s="51"/>
      <c r="R25" s="84"/>
      <c r="S25" s="84"/>
      <c r="T25" s="77"/>
      <c r="U25" s="77"/>
      <c r="V25" s="77"/>
      <c r="W25" s="77"/>
      <c r="X25" s="77"/>
      <c r="Y25" s="77"/>
      <c r="Z25" s="518"/>
      <c r="AA25" s="512"/>
    </row>
    <row r="26" spans="1:27" ht="15.75" customHeight="1" x14ac:dyDescent="0.2">
      <c r="A26" s="143"/>
      <c r="B26" s="144"/>
      <c r="C26" s="212"/>
      <c r="D26" s="212" t="s">
        <v>378</v>
      </c>
      <c r="E26" s="599">
        <f>Rfb_recommend</f>
        <v>242.5</v>
      </c>
      <c r="F26" s="530" t="s">
        <v>21</v>
      </c>
      <c r="G26" s="91"/>
      <c r="H26" s="91"/>
      <c r="I26" s="51"/>
      <c r="J26" s="51"/>
      <c r="K26" s="51"/>
      <c r="L26" s="51"/>
      <c r="M26" s="51"/>
      <c r="N26" s="51"/>
      <c r="O26" s="51"/>
      <c r="P26" s="51"/>
      <c r="Q26" s="51"/>
      <c r="R26" s="84"/>
      <c r="S26" s="84"/>
      <c r="T26" s="77"/>
      <c r="U26" s="77"/>
      <c r="V26" s="77"/>
      <c r="W26" s="77"/>
      <c r="X26" s="77"/>
      <c r="Y26" s="77"/>
      <c r="Z26" s="518"/>
      <c r="AA26" s="512"/>
    </row>
    <row r="27" spans="1:27" ht="15.75" customHeight="1" thickBot="1" x14ac:dyDescent="0.25">
      <c r="A27" s="137"/>
      <c r="B27" s="136"/>
      <c r="C27" s="138"/>
      <c r="D27" s="155" t="s">
        <v>377</v>
      </c>
      <c r="E27" s="156">
        <v>727.5</v>
      </c>
      <c r="F27" s="150" t="str">
        <f>IF(Vout=Vref,"","kΩ")</f>
        <v>kΩ</v>
      </c>
      <c r="G27" s="91"/>
      <c r="H27" s="91"/>
      <c r="I27" s="51"/>
      <c r="J27" s="51"/>
      <c r="K27" s="51"/>
      <c r="L27" s="51"/>
      <c r="M27" s="51"/>
      <c r="N27" s="51"/>
      <c r="O27" s="51"/>
      <c r="P27" s="51"/>
      <c r="Q27" s="51"/>
      <c r="R27" s="84"/>
      <c r="S27" s="84"/>
      <c r="T27" s="77"/>
      <c r="U27" s="77"/>
      <c r="V27" s="77"/>
      <c r="W27" s="77"/>
      <c r="X27" s="77"/>
      <c r="Y27" s="77"/>
      <c r="Z27" s="518"/>
      <c r="AA27" s="512"/>
    </row>
    <row r="28" spans="1:27" ht="14.1" customHeight="1" x14ac:dyDescent="0.2">
      <c r="A28" s="396"/>
      <c r="B28" s="397"/>
      <c r="C28" s="398"/>
      <c r="D28" s="399" t="s">
        <v>293</v>
      </c>
      <c r="E28" s="400"/>
      <c r="F28" s="401"/>
      <c r="G28" s="92"/>
      <c r="H28" s="91"/>
      <c r="I28" s="51"/>
      <c r="J28" s="51"/>
      <c r="K28" s="51"/>
      <c r="L28" s="51"/>
      <c r="M28" s="51"/>
      <c r="N28" s="51"/>
      <c r="O28" s="51"/>
      <c r="P28" s="51"/>
      <c r="Q28" s="51"/>
      <c r="R28" s="84"/>
      <c r="S28" s="84"/>
      <c r="T28" s="77"/>
      <c r="U28" s="77"/>
      <c r="V28" s="77"/>
      <c r="W28" s="77"/>
      <c r="X28" s="77"/>
      <c r="Y28" s="77"/>
      <c r="Z28" s="518"/>
      <c r="AA28" s="512"/>
    </row>
    <row r="29" spans="1:27" ht="16.5" customHeight="1" x14ac:dyDescent="0.2">
      <c r="A29" s="137"/>
      <c r="B29" s="136"/>
      <c r="C29" s="136"/>
      <c r="D29" s="152" t="str">
        <f>CHOOSE(MODE_SS,"Soft-Start Time","*Leave SS Pin Open or Supply by Ext. Bias")</f>
        <v>Soft-Start Time</v>
      </c>
      <c r="E29" s="153">
        <v>8</v>
      </c>
      <c r="F29" s="150" t="s">
        <v>63</v>
      </c>
      <c r="G29" s="92"/>
      <c r="H29" s="91"/>
      <c r="I29" s="51"/>
      <c r="J29" s="51"/>
      <c r="K29" s="51"/>
      <c r="L29" s="51"/>
      <c r="M29" s="51"/>
      <c r="N29" s="51"/>
      <c r="O29" s="51"/>
      <c r="P29" s="51"/>
      <c r="Q29" s="51"/>
      <c r="R29" s="84"/>
      <c r="S29" s="84"/>
      <c r="T29" s="77"/>
      <c r="U29" s="77"/>
      <c r="V29" s="77"/>
      <c r="W29" s="77"/>
      <c r="X29" s="77"/>
      <c r="Y29" s="77"/>
      <c r="Z29" s="518"/>
      <c r="AA29" s="512"/>
    </row>
    <row r="30" spans="1:27" ht="16.5" customHeight="1" thickBot="1" x14ac:dyDescent="0.35">
      <c r="A30" s="140"/>
      <c r="B30" s="141"/>
      <c r="C30" s="141"/>
      <c r="D30" s="379" t="s">
        <v>142</v>
      </c>
      <c r="E30" s="395">
        <f>IF(Tss&gt;0.0001,Css_u*1000000000,"N/A")</f>
        <v>39</v>
      </c>
      <c r="F30" s="142" t="s">
        <v>56</v>
      </c>
      <c r="G30" s="92"/>
      <c r="H30" s="91"/>
      <c r="I30" s="51"/>
      <c r="J30" s="51"/>
      <c r="K30" s="51"/>
      <c r="L30" s="51"/>
      <c r="M30" s="51"/>
      <c r="N30" s="51"/>
      <c r="O30" s="51"/>
      <c r="P30" s="51"/>
      <c r="Q30" s="51"/>
      <c r="R30" s="84"/>
      <c r="S30" s="84"/>
      <c r="T30" s="77"/>
      <c r="U30" s="77"/>
      <c r="V30" s="77"/>
      <c r="W30" s="77"/>
      <c r="X30" s="77"/>
      <c r="Y30" s="77"/>
      <c r="Z30" s="518"/>
      <c r="AA30" s="512"/>
    </row>
    <row r="31" spans="1:27" ht="15.75" customHeight="1" x14ac:dyDescent="0.2">
      <c r="A31" s="137"/>
      <c r="B31" s="136"/>
      <c r="C31" s="136"/>
      <c r="D31" s="88" t="s">
        <v>391</v>
      </c>
      <c r="E31" s="151"/>
      <c r="F31" s="139"/>
      <c r="G31" s="91"/>
      <c r="H31" s="91"/>
      <c r="I31" s="51"/>
      <c r="J31" s="51"/>
      <c r="K31" s="51"/>
      <c r="L31" s="51"/>
      <c r="M31" s="51"/>
      <c r="N31" s="51"/>
      <c r="O31" s="51"/>
      <c r="P31" s="51"/>
      <c r="Q31" s="51"/>
      <c r="R31" s="84"/>
      <c r="S31" s="84"/>
      <c r="T31" s="77"/>
      <c r="U31" s="77"/>
      <c r="V31" s="77"/>
      <c r="W31" s="77"/>
      <c r="X31" s="77"/>
      <c r="Y31" s="77"/>
      <c r="Z31" s="518"/>
      <c r="AA31" s="512"/>
    </row>
    <row r="32" spans="1:27" ht="15.75" customHeight="1" x14ac:dyDescent="0.2">
      <c r="A32" s="137"/>
      <c r="B32" s="136"/>
      <c r="C32" s="136"/>
      <c r="D32" s="88" t="str">
        <f>CHOOSE(TC,"Diode Voltage Drop Thermal Coefficient","*Leave TC Pin Open")</f>
        <v>Diode Voltage Drop Thermal Coefficient</v>
      </c>
      <c r="E32" s="603">
        <v>-1.2</v>
      </c>
      <c r="F32" s="139" t="s">
        <v>390</v>
      </c>
      <c r="G32" s="91"/>
      <c r="H32" s="91"/>
      <c r="I32" s="51"/>
      <c r="J32" s="51"/>
      <c r="K32" s="51"/>
      <c r="L32" s="51"/>
      <c r="M32" s="51"/>
      <c r="N32" s="51"/>
      <c r="O32" s="51"/>
      <c r="P32" s="51"/>
      <c r="Q32" s="51"/>
      <c r="R32" s="84"/>
      <c r="S32" s="84"/>
      <c r="T32" s="77"/>
      <c r="U32" s="77"/>
      <c r="V32" s="77"/>
      <c r="W32" s="77"/>
      <c r="X32" s="77"/>
      <c r="Y32" s="77"/>
      <c r="Z32" s="518"/>
      <c r="AA32" s="512"/>
    </row>
    <row r="33" spans="1:35" ht="15.75" customHeight="1" thickBot="1" x14ac:dyDescent="0.25">
      <c r="A33" s="140"/>
      <c r="B33" s="157"/>
      <c r="C33" s="157"/>
      <c r="D33" s="519" t="s">
        <v>392</v>
      </c>
      <c r="E33" s="540">
        <f>RTC</f>
        <v>1820</v>
      </c>
      <c r="F33" s="541" t="s">
        <v>21</v>
      </c>
      <c r="G33" s="91"/>
      <c r="H33" s="91"/>
      <c r="I33" s="51"/>
      <c r="J33" s="51"/>
      <c r="K33" s="75"/>
      <c r="L33" s="51"/>
      <c r="M33" s="51"/>
      <c r="N33" s="51"/>
      <c r="O33" s="51"/>
      <c r="P33" s="51"/>
      <c r="Q33" s="51"/>
      <c r="R33" s="84"/>
      <c r="S33" s="84"/>
      <c r="T33" s="77"/>
      <c r="U33" s="77"/>
      <c r="V33" s="77"/>
      <c r="W33" s="77"/>
      <c r="X33" s="77"/>
      <c r="Y33" s="77"/>
      <c r="Z33" s="518"/>
      <c r="AA33" s="512"/>
    </row>
    <row r="34" spans="1:35" ht="16.5" customHeight="1" x14ac:dyDescent="0.2">
      <c r="A34" s="137"/>
      <c r="B34" s="136"/>
      <c r="C34" s="136"/>
      <c r="D34" s="155" t="s">
        <v>307</v>
      </c>
      <c r="E34" s="151"/>
      <c r="F34" s="139"/>
      <c r="G34" s="91"/>
      <c r="H34" s="91"/>
      <c r="I34" s="51"/>
      <c r="J34" s="51"/>
      <c r="K34" s="51"/>
      <c r="L34" s="51"/>
      <c r="M34" s="51"/>
      <c r="N34" s="51"/>
      <c r="O34" s="51"/>
      <c r="P34" s="51"/>
      <c r="Q34" s="51"/>
      <c r="R34" s="84"/>
      <c r="S34" s="84"/>
      <c r="T34" s="77"/>
      <c r="U34" s="77"/>
      <c r="V34" s="77"/>
      <c r="W34" s="77"/>
      <c r="X34" s="77"/>
      <c r="Y34" s="77"/>
      <c r="Z34" s="518"/>
      <c r="AA34" s="512"/>
    </row>
    <row r="35" spans="1:35" ht="15.75" customHeight="1" x14ac:dyDescent="0.2">
      <c r="A35" s="137"/>
      <c r="B35" s="136"/>
      <c r="C35" s="154"/>
      <c r="D35" s="155" t="str">
        <f>CHOOSE(MODE_UVLO, "Input UVLO Turn-On Threshold", "*Connect EN pin to VIN or Logic HIGH")</f>
        <v>Input UVLO Turn-On Threshold</v>
      </c>
      <c r="E35" s="156">
        <v>4.5</v>
      </c>
      <c r="F35" s="150" t="s">
        <v>0</v>
      </c>
      <c r="G35" s="91"/>
      <c r="H35" s="91"/>
      <c r="I35" s="84"/>
      <c r="J35" s="84"/>
      <c r="K35" s="84"/>
      <c r="L35" s="216"/>
      <c r="M35" s="51"/>
      <c r="N35" s="51"/>
      <c r="O35" s="51"/>
      <c r="P35" s="51"/>
      <c r="Q35" s="51"/>
      <c r="R35" s="84"/>
      <c r="S35" s="84"/>
      <c r="T35" s="77"/>
      <c r="U35" s="77"/>
      <c r="V35" s="77"/>
      <c r="W35" s="77"/>
      <c r="X35" s="77"/>
      <c r="Y35" s="77"/>
      <c r="Z35" s="518"/>
      <c r="AA35" s="512"/>
    </row>
    <row r="36" spans="1:35" ht="15.75" customHeight="1" thickBot="1" x14ac:dyDescent="0.25">
      <c r="A36" s="140"/>
      <c r="B36" s="157"/>
      <c r="C36" s="157"/>
      <c r="D36" s="440" t="str">
        <f>CHOOSE(MODE_UVLO, "Input UVLO Turn-Off Threshold", "")</f>
        <v>Input UVLO Turn-Off Threshold</v>
      </c>
      <c r="E36" s="441">
        <v>3.5</v>
      </c>
      <c r="F36" s="442" t="s">
        <v>0</v>
      </c>
      <c r="G36" s="91"/>
      <c r="H36" s="138"/>
      <c r="I36" s="217"/>
      <c r="J36" s="219"/>
      <c r="K36" s="84"/>
      <c r="L36" s="84"/>
      <c r="M36" s="51"/>
      <c r="N36" s="51"/>
      <c r="O36" s="51"/>
      <c r="P36" s="51"/>
      <c r="Q36" s="51"/>
      <c r="R36" s="84"/>
      <c r="S36" s="84"/>
      <c r="T36" s="77"/>
      <c r="U36" s="77"/>
      <c r="V36" s="77"/>
      <c r="W36" s="77"/>
      <c r="X36" s="77"/>
      <c r="Y36" s="77"/>
      <c r="Z36" s="518"/>
      <c r="AA36" s="512"/>
    </row>
    <row r="37" spans="1:35" ht="15.75" customHeight="1" x14ac:dyDescent="0.2">
      <c r="A37" s="465"/>
      <c r="B37" s="136"/>
      <c r="C37" s="154"/>
      <c r="D37" s="138" t="s">
        <v>382</v>
      </c>
      <c r="E37" s="590">
        <f>'Variable Mgmt'!F149</f>
        <v>169</v>
      </c>
      <c r="F37" s="139" t="s">
        <v>21</v>
      </c>
      <c r="G37" s="91"/>
      <c r="H37" s="221"/>
      <c r="I37" s="152"/>
      <c r="J37" s="601"/>
      <c r="K37" s="220"/>
      <c r="L37" s="84"/>
      <c r="M37" s="51"/>
      <c r="N37" s="51"/>
      <c r="O37" s="51"/>
      <c r="P37" s="51"/>
      <c r="Q37" s="51"/>
      <c r="R37" s="84"/>
      <c r="S37" s="84"/>
      <c r="T37" s="77"/>
      <c r="U37" s="77"/>
      <c r="V37" s="77"/>
      <c r="W37" s="77"/>
      <c r="X37" s="77"/>
      <c r="Y37" s="77"/>
      <c r="Z37" s="518"/>
      <c r="AA37" s="512"/>
    </row>
    <row r="38" spans="1:35" ht="15.75" customHeight="1" thickBot="1" x14ac:dyDescent="0.25">
      <c r="A38" s="140"/>
      <c r="B38" s="157"/>
      <c r="C38" s="157"/>
      <c r="D38" s="519" t="s">
        <v>295</v>
      </c>
      <c r="E38" s="520">
        <f>'Variable Mgmt'!F150</f>
        <v>84.5</v>
      </c>
      <c r="F38" s="142" t="s">
        <v>21</v>
      </c>
      <c r="G38" s="91"/>
      <c r="H38" s="91"/>
      <c r="I38" s="84"/>
      <c r="J38" s="218"/>
      <c r="K38" s="84"/>
      <c r="L38" s="84"/>
      <c r="M38" s="51"/>
      <c r="N38" s="51"/>
      <c r="O38" s="51"/>
      <c r="P38" s="51"/>
      <c r="Q38" s="51" t="s">
        <v>78</v>
      </c>
      <c r="R38" s="84"/>
      <c r="S38" s="84"/>
      <c r="T38" s="77"/>
      <c r="U38" s="77"/>
      <c r="V38" s="77"/>
      <c r="W38" s="77"/>
      <c r="X38" s="77"/>
      <c r="Y38" s="77"/>
      <c r="Z38" s="518"/>
      <c r="AA38" s="512"/>
    </row>
    <row r="39" spans="1:35" ht="13.5" customHeight="1" x14ac:dyDescent="0.2">
      <c r="A39" s="465"/>
      <c r="B39" s="521"/>
      <c r="C39" s="521"/>
      <c r="D39" s="522"/>
      <c r="E39" s="523"/>
      <c r="F39" s="524"/>
      <c r="G39" s="91"/>
      <c r="H39" s="91"/>
      <c r="I39" s="51"/>
      <c r="J39" s="76"/>
      <c r="K39" s="51"/>
      <c r="L39" s="51"/>
      <c r="M39" s="51"/>
      <c r="N39" s="51"/>
      <c r="O39" s="51"/>
      <c r="P39" s="51"/>
      <c r="Q39" s="51"/>
      <c r="R39" s="84"/>
      <c r="S39" s="84"/>
      <c r="T39" s="77"/>
      <c r="U39" s="77"/>
      <c r="V39" s="77"/>
      <c r="W39" s="77"/>
      <c r="X39" s="77"/>
      <c r="Y39" s="77"/>
      <c r="Z39" s="518"/>
      <c r="AA39" s="512"/>
    </row>
    <row r="40" spans="1:35" ht="19.5" customHeight="1" thickBot="1" x14ac:dyDescent="0.25">
      <c r="A40" s="466" t="s">
        <v>509</v>
      </c>
      <c r="B40" s="91"/>
      <c r="C40" s="91"/>
      <c r="D40" s="89"/>
      <c r="E40" s="101"/>
      <c r="F40" s="91"/>
      <c r="G40" s="91"/>
      <c r="H40" s="91"/>
      <c r="I40" s="51"/>
      <c r="J40" s="76"/>
      <c r="K40" s="51"/>
      <c r="L40" s="51"/>
      <c r="M40" s="51"/>
      <c r="N40" s="51"/>
      <c r="O40" s="51"/>
      <c r="P40" s="51"/>
      <c r="Q40" s="51"/>
      <c r="R40" s="84"/>
      <c r="S40" s="84"/>
      <c r="T40" s="77"/>
      <c r="U40" s="77"/>
      <c r="V40" s="77"/>
      <c r="W40" s="77"/>
      <c r="X40" s="77"/>
      <c r="Y40" s="77"/>
      <c r="Z40" s="518"/>
      <c r="AA40" s="512"/>
    </row>
    <row r="41" spans="1:35" ht="15.75" customHeight="1" x14ac:dyDescent="0.25">
      <c r="A41" s="586"/>
      <c r="B41" s="513"/>
      <c r="C41" s="513"/>
      <c r="D41" s="587" t="s">
        <v>665</v>
      </c>
      <c r="E41" s="591">
        <v>0.25</v>
      </c>
      <c r="F41" s="588" t="s">
        <v>0</v>
      </c>
      <c r="G41" s="91"/>
      <c r="H41" s="91"/>
      <c r="I41" s="51"/>
      <c r="J41" s="76"/>
      <c r="K41" s="51"/>
      <c r="L41" s="51"/>
      <c r="M41" s="51"/>
      <c r="N41" s="51"/>
      <c r="O41" s="51"/>
      <c r="P41" s="51"/>
      <c r="Q41" s="51"/>
      <c r="R41" s="84"/>
      <c r="S41" s="84"/>
      <c r="T41" s="77"/>
      <c r="U41" s="77"/>
      <c r="V41" s="77"/>
      <c r="W41" s="77"/>
      <c r="X41" s="77"/>
      <c r="Y41" s="77"/>
      <c r="Z41" s="518"/>
      <c r="AA41" s="512"/>
    </row>
    <row r="42" spans="1:35" ht="15.75" customHeight="1" x14ac:dyDescent="0.25">
      <c r="A42" s="432"/>
      <c r="B42" s="77"/>
      <c r="C42" s="77"/>
      <c r="D42" s="649" t="s">
        <v>666</v>
      </c>
      <c r="E42" s="100">
        <v>0.3</v>
      </c>
      <c r="F42" s="437" t="s">
        <v>0</v>
      </c>
      <c r="G42" s="91"/>
      <c r="H42" s="91"/>
      <c r="I42" s="51"/>
      <c r="J42" s="76"/>
      <c r="K42" s="51"/>
      <c r="L42" s="51"/>
      <c r="M42" s="51"/>
      <c r="N42" s="51"/>
      <c r="O42" s="51"/>
      <c r="P42" s="51"/>
      <c r="Q42" s="51"/>
      <c r="R42" s="84"/>
      <c r="S42" s="84"/>
      <c r="T42" s="77"/>
      <c r="U42" s="77"/>
      <c r="V42" s="77"/>
      <c r="W42" s="77"/>
      <c r="X42" s="77"/>
      <c r="Y42" s="77"/>
      <c r="Z42" s="518"/>
      <c r="AA42" s="512"/>
    </row>
    <row r="43" spans="1:35" ht="15.75" customHeight="1" x14ac:dyDescent="0.2">
      <c r="A43" s="90"/>
      <c r="B43" s="136"/>
      <c r="C43" s="136"/>
      <c r="D43" s="155" t="s">
        <v>306</v>
      </c>
      <c r="E43" s="585">
        <v>77</v>
      </c>
      <c r="F43" s="438" t="s">
        <v>84</v>
      </c>
      <c r="G43" s="91"/>
      <c r="H43" s="91"/>
      <c r="I43" s="51"/>
      <c r="J43" s="76"/>
      <c r="K43" s="51"/>
      <c r="L43" s="51"/>
      <c r="M43" s="51"/>
      <c r="N43" s="51"/>
      <c r="O43" s="51"/>
      <c r="P43" s="51"/>
      <c r="Q43" s="51"/>
      <c r="R43" s="84"/>
      <c r="S43" s="84"/>
      <c r="T43" s="77"/>
      <c r="U43" s="77"/>
      <c r="V43" s="77"/>
      <c r="W43" s="77"/>
      <c r="X43" s="77"/>
      <c r="Y43" s="77"/>
      <c r="Z43" s="518"/>
      <c r="AA43" s="512"/>
    </row>
    <row r="44" spans="1:35" ht="15.75" customHeight="1" x14ac:dyDescent="0.25">
      <c r="A44" s="90"/>
      <c r="B44" s="91"/>
      <c r="C44" s="91"/>
      <c r="D44" s="88" t="s">
        <v>520</v>
      </c>
      <c r="E44" s="380">
        <v>25</v>
      </c>
      <c r="F44" s="437" t="s">
        <v>102</v>
      </c>
      <c r="G44" s="91"/>
      <c r="H44" s="91"/>
      <c r="I44" s="51"/>
      <c r="J44" s="51"/>
      <c r="K44" s="51"/>
      <c r="L44" s="51"/>
      <c r="M44" s="51"/>
      <c r="N44" s="51"/>
      <c r="O44" s="51"/>
      <c r="P44" s="51"/>
      <c r="Q44" s="51"/>
      <c r="R44" s="84"/>
      <c r="S44" s="84"/>
      <c r="T44" s="77"/>
      <c r="U44" s="77"/>
      <c r="V44" s="77"/>
      <c r="W44" s="77"/>
      <c r="X44" s="77"/>
      <c r="Y44" s="77"/>
      <c r="Z44" s="518"/>
      <c r="AA44" s="512"/>
    </row>
    <row r="45" spans="1:35" ht="15.75" customHeight="1" x14ac:dyDescent="0.3">
      <c r="A45" s="90"/>
      <c r="B45" s="91"/>
      <c r="C45" s="91"/>
      <c r="D45" s="89" t="s">
        <v>707</v>
      </c>
      <c r="E45" s="376">
        <f>CHOOSE(MODE, 'Calculations - Single'!BM105, 'Calculations - Dual'!BK105)</f>
        <v>108.01997547135635</v>
      </c>
      <c r="F45" s="105" t="s">
        <v>294</v>
      </c>
      <c r="G45" s="91"/>
      <c r="H45" s="91"/>
      <c r="I45" s="51"/>
      <c r="J45" s="51"/>
      <c r="K45" s="51"/>
      <c r="L45" s="51"/>
      <c r="M45" s="51"/>
      <c r="N45" s="51"/>
      <c r="O45" s="51"/>
      <c r="P45" s="51"/>
      <c r="Q45" s="51"/>
      <c r="R45" s="84"/>
      <c r="S45" s="84"/>
      <c r="T45" s="77"/>
      <c r="U45" s="77"/>
      <c r="V45" s="77"/>
      <c r="W45" s="77"/>
      <c r="X45" s="77"/>
      <c r="Y45" s="77"/>
      <c r="Z45" s="518"/>
      <c r="AA45" s="512"/>
    </row>
    <row r="46" spans="1:35" ht="15.75" customHeight="1" thickBot="1" x14ac:dyDescent="0.35">
      <c r="A46" s="103"/>
      <c r="B46" s="104"/>
      <c r="C46" s="104"/>
      <c r="D46" s="379" t="s">
        <v>708</v>
      </c>
      <c r="E46" s="529">
        <f>E44+E45/1000*ThetaJA</f>
        <v>33.317538111294439</v>
      </c>
      <c r="F46" s="439" t="s">
        <v>102</v>
      </c>
      <c r="G46" s="91"/>
      <c r="H46" s="91"/>
      <c r="I46" s="51"/>
      <c r="J46" s="51"/>
      <c r="K46" s="51"/>
      <c r="L46" s="51"/>
      <c r="M46" s="51"/>
      <c r="N46" s="51"/>
      <c r="O46" s="51"/>
      <c r="P46" s="51"/>
      <c r="Q46" s="51"/>
      <c r="R46" s="84"/>
      <c r="S46" s="84"/>
      <c r="T46" s="77"/>
      <c r="U46" s="77"/>
      <c r="V46" s="77"/>
      <c r="W46" s="77"/>
      <c r="X46" s="77"/>
      <c r="Y46" s="77"/>
      <c r="Z46" s="518"/>
      <c r="AA46" s="512"/>
    </row>
    <row r="47" spans="1:35" ht="15.75" customHeight="1" thickBot="1" x14ac:dyDescent="0.25">
      <c r="A47" s="103"/>
      <c r="B47" s="106"/>
      <c r="C47" s="106"/>
      <c r="D47" s="106"/>
      <c r="E47" s="579"/>
      <c r="F47" s="106"/>
      <c r="G47" s="106"/>
      <c r="H47" s="106"/>
      <c r="I47" s="516"/>
      <c r="J47" s="516"/>
      <c r="K47" s="516"/>
      <c r="L47" s="516"/>
      <c r="M47" s="516"/>
      <c r="N47" s="516"/>
      <c r="O47" s="516"/>
      <c r="P47" s="516"/>
      <c r="Q47" s="516"/>
      <c r="R47" s="514"/>
      <c r="S47" s="514"/>
      <c r="T47" s="514"/>
      <c r="U47" s="515"/>
      <c r="V47" s="515"/>
      <c r="W47" s="514"/>
      <c r="X47" s="514"/>
      <c r="Y47" s="514"/>
      <c r="Z47" s="580"/>
      <c r="AA47" s="512"/>
      <c r="AB47" s="24"/>
      <c r="AC47" s="24"/>
      <c r="AD47" s="24"/>
      <c r="AG47" s="24"/>
      <c r="AH47" s="24"/>
      <c r="AI47" s="24"/>
    </row>
    <row r="48" spans="1:35" x14ac:dyDescent="0.2">
      <c r="A48" s="422"/>
      <c r="B48" s="423"/>
      <c r="C48" s="424"/>
      <c r="D48" s="424"/>
      <c r="E48" s="424"/>
      <c r="F48" s="424"/>
      <c r="G48" s="424"/>
      <c r="H48" s="424"/>
      <c r="I48" s="424"/>
      <c r="J48" s="424"/>
      <c r="K48" s="424"/>
      <c r="L48" s="424"/>
      <c r="M48" s="424"/>
      <c r="N48" s="424"/>
      <c r="O48" s="424"/>
      <c r="P48" s="424"/>
      <c r="Q48" s="424"/>
      <c r="R48" s="421"/>
      <c r="S48" s="421"/>
      <c r="T48" s="421"/>
      <c r="U48" s="512"/>
      <c r="V48" s="512"/>
      <c r="W48" s="421"/>
      <c r="X48" s="421"/>
      <c r="Y48" s="421"/>
      <c r="Z48" s="512"/>
      <c r="AA48" s="512"/>
      <c r="AB48" s="24"/>
      <c r="AC48" s="24"/>
      <c r="AD48" s="24"/>
      <c r="AG48" s="24"/>
      <c r="AH48" s="24"/>
      <c r="AI48" s="24"/>
    </row>
    <row r="49" spans="1:35" x14ac:dyDescent="0.2">
      <c r="A49" s="47"/>
      <c r="B49" s="47"/>
      <c r="C49" s="47"/>
      <c r="D49" s="47"/>
      <c r="E49" s="47"/>
      <c r="F49" s="47"/>
      <c r="G49" s="47"/>
      <c r="H49" s="47"/>
      <c r="I49" s="47"/>
      <c r="J49" s="47"/>
      <c r="K49" s="47"/>
      <c r="L49" s="47"/>
      <c r="M49" s="47"/>
      <c r="N49" s="47"/>
      <c r="O49" s="47"/>
      <c r="P49" s="47"/>
      <c r="Q49" s="47"/>
      <c r="R49" s="24"/>
      <c r="S49" s="24"/>
      <c r="T49" s="24"/>
      <c r="W49" s="24"/>
      <c r="X49" s="24"/>
      <c r="Y49" s="24"/>
      <c r="AB49" s="24"/>
      <c r="AC49" s="24"/>
      <c r="AD49" s="24"/>
      <c r="AG49" s="24"/>
      <c r="AH49" s="24"/>
      <c r="AI49" s="24"/>
    </row>
    <row r="50" spans="1:35" x14ac:dyDescent="0.2">
      <c r="B50" s="47"/>
      <c r="C50" s="47"/>
      <c r="D50" s="47"/>
      <c r="E50" s="47"/>
      <c r="F50" s="47"/>
      <c r="G50" s="47"/>
      <c r="H50" s="47"/>
      <c r="I50" s="47"/>
      <c r="J50" s="47"/>
      <c r="K50" s="47"/>
      <c r="L50" s="47"/>
      <c r="R50" s="24"/>
      <c r="S50" s="24"/>
      <c r="T50" s="24"/>
      <c r="W50" s="24"/>
      <c r="X50" s="24"/>
      <c r="Y50" s="24"/>
      <c r="AB50" s="24"/>
      <c r="AC50" s="24"/>
      <c r="AD50" s="24"/>
      <c r="AG50" s="24"/>
      <c r="AH50" s="24"/>
      <c r="AI50" s="24"/>
    </row>
    <row r="51" spans="1:35" x14ac:dyDescent="0.2">
      <c r="B51" s="47"/>
      <c r="C51" s="47"/>
      <c r="D51" s="47"/>
      <c r="E51" s="47"/>
      <c r="F51" s="47"/>
      <c r="G51" s="47"/>
      <c r="H51" s="47"/>
      <c r="I51" s="47"/>
      <c r="J51" s="47"/>
      <c r="K51" s="47"/>
      <c r="L51" s="47"/>
      <c r="R51" s="24"/>
      <c r="S51" s="24"/>
      <c r="T51" s="24"/>
      <c r="W51" s="24"/>
      <c r="X51" s="24"/>
      <c r="Y51" s="24"/>
      <c r="AB51" s="24"/>
      <c r="AC51" s="24"/>
      <c r="AD51" s="24"/>
      <c r="AG51" s="24"/>
      <c r="AH51" s="24"/>
      <c r="AI51" s="24"/>
    </row>
    <row r="52" spans="1:35" x14ac:dyDescent="0.2">
      <c r="B52" s="47"/>
      <c r="C52" s="47"/>
      <c r="D52" s="47"/>
      <c r="E52" s="47"/>
      <c r="F52" s="47"/>
      <c r="G52" s="47"/>
      <c r="H52" s="47"/>
      <c r="I52" s="47"/>
      <c r="J52" s="47"/>
      <c r="K52" s="47"/>
      <c r="L52" s="47"/>
      <c r="R52" s="24"/>
      <c r="S52" s="24"/>
      <c r="T52" s="24"/>
      <c r="W52" s="24"/>
      <c r="X52" s="24"/>
      <c r="Y52" s="24"/>
      <c r="AB52" s="24"/>
      <c r="AC52" s="24"/>
      <c r="AD52" s="24"/>
      <c r="AG52" s="24"/>
      <c r="AH52" s="24"/>
      <c r="AI52" s="24"/>
    </row>
    <row r="53" spans="1:35" x14ac:dyDescent="0.2">
      <c r="B53" s="47"/>
      <c r="C53" s="47"/>
      <c r="D53" s="47"/>
      <c r="E53" s="47"/>
      <c r="F53" s="47"/>
      <c r="G53" s="47"/>
      <c r="H53" s="47"/>
      <c r="I53" s="47"/>
      <c r="J53" s="47"/>
      <c r="K53" s="47"/>
      <c r="L53" s="47"/>
      <c r="R53" s="24"/>
      <c r="S53" s="24"/>
      <c r="T53" s="24"/>
      <c r="W53" s="24"/>
      <c r="X53" s="24"/>
      <c r="Y53" s="24"/>
      <c r="AB53" s="24"/>
      <c r="AC53" s="24"/>
      <c r="AD53" s="24"/>
      <c r="AG53" s="24"/>
      <c r="AH53" s="24"/>
      <c r="AI53" s="24"/>
    </row>
  </sheetData>
  <sheetProtection password="CCC8" sheet="1" objects="1" scenarios="1" selectLockedCells="1"/>
  <phoneticPr fontId="6" type="noConversion"/>
  <conditionalFormatting sqref="E6:E8">
    <cfRule type="cellIs" dxfId="59" priority="101" stopIfTrue="1" operator="notBetween">
      <formula>42</formula>
      <formula>4.5</formula>
    </cfRule>
  </conditionalFormatting>
  <conditionalFormatting sqref="E10">
    <cfRule type="cellIs" dxfId="58" priority="98" stopIfTrue="1" operator="notBetween">
      <formula>-200</formula>
      <formula>200</formula>
    </cfRule>
  </conditionalFormatting>
  <conditionalFormatting sqref="E21">
    <cfRule type="cellIs" dxfId="57" priority="95" stopIfTrue="1" operator="lessThan">
      <formula>$E$20</formula>
    </cfRule>
  </conditionalFormatting>
  <conditionalFormatting sqref="E17">
    <cfRule type="cellIs" dxfId="56" priority="91" stopIfTrue="1" operator="lessThan">
      <formula>$E$16</formula>
    </cfRule>
  </conditionalFormatting>
  <conditionalFormatting sqref="E18">
    <cfRule type="cellIs" dxfId="55" priority="90" stopIfTrue="1" operator="equal">
      <formula>0</formula>
    </cfRule>
  </conditionalFormatting>
  <conditionalFormatting sqref="E35">
    <cfRule type="cellIs" dxfId="54" priority="87" operator="notBetween">
      <formula>70</formula>
      <formula>4.5</formula>
    </cfRule>
  </conditionalFormatting>
  <conditionalFormatting sqref="E29">
    <cfRule type="cellIs" dxfId="53" priority="85" operator="lessThan">
      <formula>6</formula>
    </cfRule>
  </conditionalFormatting>
  <conditionalFormatting sqref="F14">
    <cfRule type="expression" dxfId="52" priority="74">
      <formula>(MODE=2)</formula>
    </cfRule>
  </conditionalFormatting>
  <conditionalFormatting sqref="E29:F29">
    <cfRule type="expression" dxfId="51" priority="69">
      <formula>OR(MODE_SS=2,MODE_SS=3)</formula>
    </cfRule>
  </conditionalFormatting>
  <conditionalFormatting sqref="D29">
    <cfRule type="expression" dxfId="50" priority="68">
      <formula>OR(MODE_SS=2,MODE_SS=3)</formula>
    </cfRule>
  </conditionalFormatting>
  <conditionalFormatting sqref="D30:F30">
    <cfRule type="expression" dxfId="49" priority="67">
      <formula>OR(MODE_SS=2,MODE_SS=3)</formula>
    </cfRule>
  </conditionalFormatting>
  <conditionalFormatting sqref="D35">
    <cfRule type="expression" dxfId="48" priority="65">
      <formula>MODE_UVLO=2</formula>
    </cfRule>
  </conditionalFormatting>
  <conditionalFormatting sqref="C37:F39 E35:F36">
    <cfRule type="expression" dxfId="47" priority="39">
      <formula>MODE_UVLO=2</formula>
    </cfRule>
  </conditionalFormatting>
  <conditionalFormatting sqref="D36">
    <cfRule type="expression" dxfId="46" priority="62">
      <formula>MODE_UVLO=2</formula>
    </cfRule>
  </conditionalFormatting>
  <conditionalFormatting sqref="E46">
    <cfRule type="cellIs" dxfId="45" priority="47" operator="notBetween">
      <formula>-40</formula>
      <formula>150</formula>
    </cfRule>
  </conditionalFormatting>
  <conditionalFormatting sqref="E44">
    <cfRule type="cellIs" dxfId="44" priority="46" operator="notBetween">
      <formula>-40</formula>
      <formula>150</formula>
    </cfRule>
  </conditionalFormatting>
  <conditionalFormatting sqref="F20">
    <cfRule type="cellIs" dxfId="43" priority="45" stopIfTrue="1" operator="lessThanOrEqual">
      <formula>0</formula>
    </cfRule>
  </conditionalFormatting>
  <conditionalFormatting sqref="A36:F36">
    <cfRule type="expression" dxfId="42" priority="29">
      <formula>MODE_UVLO=1</formula>
    </cfRule>
  </conditionalFormatting>
  <conditionalFormatting sqref="A39:F39">
    <cfRule type="expression" dxfId="41" priority="38">
      <formula>MODE_UVLO=2</formula>
    </cfRule>
  </conditionalFormatting>
  <conditionalFormatting sqref="F37:F38">
    <cfRule type="expression" dxfId="40" priority="37">
      <formula>MODE_UVLO=2</formula>
    </cfRule>
  </conditionalFormatting>
  <conditionalFormatting sqref="E36">
    <cfRule type="cellIs" dxfId="39" priority="63" operator="notBetween">
      <formula>3.5</formula>
      <formula>$E$35</formula>
    </cfRule>
  </conditionalFormatting>
  <conditionalFormatting sqref="F16">
    <cfRule type="cellIs" dxfId="38" priority="27" stopIfTrue="1" operator="lessThanOrEqual">
      <formula>0</formula>
    </cfRule>
  </conditionalFormatting>
  <conditionalFormatting sqref="E11">
    <cfRule type="cellIs" dxfId="37" priority="26" operator="between">
      <formula>-0.0099</formula>
      <formula>0.0099</formula>
    </cfRule>
  </conditionalFormatting>
  <conditionalFormatting sqref="E11">
    <cfRule type="expression" dxfId="36" priority="53">
      <formula>"Iout&gt;2"</formula>
    </cfRule>
  </conditionalFormatting>
  <conditionalFormatting sqref="J37">
    <cfRule type="cellIs" dxfId="35" priority="109" stopIfTrue="1" operator="notBetween">
      <formula>600</formula>
      <formula>50</formula>
    </cfRule>
    <cfRule type="cellIs" dxfId="34" priority="110" stopIfTrue="1" operator="greaterThan">
      <formula>$E$9</formula>
    </cfRule>
  </conditionalFormatting>
  <conditionalFormatting sqref="E12">
    <cfRule type="cellIs" dxfId="33" priority="25" operator="notBetween">
      <formula>-200</formula>
      <formula>200</formula>
    </cfRule>
  </conditionalFormatting>
  <conditionalFormatting sqref="E13">
    <cfRule type="cellIs" dxfId="32" priority="23" operator="between">
      <formula>-0.0099</formula>
      <formula>0.0099</formula>
    </cfRule>
  </conditionalFormatting>
  <conditionalFormatting sqref="E13">
    <cfRule type="expression" dxfId="31" priority="24">
      <formula>Iout2 &gt; 2</formula>
    </cfRule>
  </conditionalFormatting>
  <conditionalFormatting sqref="E22">
    <cfRule type="cellIs" dxfId="30" priority="19" stopIfTrue="1" operator="equal">
      <formula>0</formula>
    </cfRule>
  </conditionalFormatting>
  <conditionalFormatting sqref="D32">
    <cfRule type="expression" dxfId="29" priority="14">
      <formula>OR(TC=2)</formula>
    </cfRule>
  </conditionalFormatting>
  <conditionalFormatting sqref="D33:F33 E32:F32">
    <cfRule type="expression" dxfId="28" priority="13">
      <formula>OR(TC=2)</formula>
    </cfRule>
  </conditionalFormatting>
  <conditionalFormatting sqref="L22">
    <cfRule type="cellIs" dxfId="27" priority="7" stopIfTrue="1" operator="equal">
      <formula>0</formula>
    </cfRule>
  </conditionalFormatting>
  <conditionalFormatting sqref="L21">
    <cfRule type="cellIs" dxfId="26" priority="9" stopIfTrue="1" operator="lessThan">
      <formula>$L$20</formula>
    </cfRule>
  </conditionalFormatting>
  <conditionalFormatting sqref="M20">
    <cfRule type="cellIs" dxfId="25" priority="8" stopIfTrue="1" operator="lessThanOrEqual">
      <formula>0</formula>
    </cfRule>
  </conditionalFormatting>
  <hyperlinks>
    <hyperlink ref="C3" r:id="rId1"/>
  </hyperlinks>
  <printOptions horizontalCentered="1" verticalCentered="1"/>
  <pageMargins left="0.1" right="0.1" top="0.1" bottom="0.1" header="0.25" footer="0.25"/>
  <pageSetup scale="61" orientation="landscape" r:id="rId2"/>
  <headerFooter alignWithMargins="0"/>
  <rowBreaks count="1" manualBreakCount="1">
    <brk id="48" max="16383" man="1"/>
  </rowBreaks>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672895" r:id="rId6" name="Spinner 127">
              <controlPr defaultSize="0" autoPict="0">
                <anchor moveWithCells="1" sizeWithCells="1">
                  <from>
                    <xdr:col>5</xdr:col>
                    <xdr:colOff>123825</xdr:colOff>
                    <xdr:row>6</xdr:row>
                    <xdr:rowOff>9525</xdr:rowOff>
                  </from>
                  <to>
                    <xdr:col>5</xdr:col>
                    <xdr:colOff>304800</xdr:colOff>
                    <xdr:row>7</xdr:row>
                    <xdr:rowOff>28575</xdr:rowOff>
                  </to>
                </anchor>
              </controlPr>
            </control>
          </mc:Choice>
        </mc:AlternateContent>
        <mc:AlternateContent xmlns:mc="http://schemas.openxmlformats.org/markup-compatibility/2006">
          <mc:Choice Requires="x14">
            <control shapeId="672935" r:id="rId7" name="Drop Down 167">
              <controlPr defaultSize="0" autoLine="0" autoPict="0">
                <anchor moveWithCells="1">
                  <from>
                    <xdr:col>4</xdr:col>
                    <xdr:colOff>9525</xdr:colOff>
                    <xdr:row>27</xdr:row>
                    <xdr:rowOff>0</xdr:rowOff>
                  </from>
                  <to>
                    <xdr:col>5</xdr:col>
                    <xdr:colOff>276225</xdr:colOff>
                    <xdr:row>28</xdr:row>
                    <xdr:rowOff>28575</xdr:rowOff>
                  </to>
                </anchor>
              </controlPr>
            </control>
          </mc:Choice>
        </mc:AlternateContent>
        <mc:AlternateContent xmlns:mc="http://schemas.openxmlformats.org/markup-compatibility/2006">
          <mc:Choice Requires="x14">
            <control shapeId="673043" r:id="rId8" name="Drop Down 275">
              <controlPr defaultSize="0" autoLine="0" autoPict="0">
                <anchor moveWithCells="1">
                  <from>
                    <xdr:col>4</xdr:col>
                    <xdr:colOff>9525</xdr:colOff>
                    <xdr:row>33</xdr:row>
                    <xdr:rowOff>0</xdr:rowOff>
                  </from>
                  <to>
                    <xdr:col>5</xdr:col>
                    <xdr:colOff>257175</xdr:colOff>
                    <xdr:row>33</xdr:row>
                    <xdr:rowOff>200025</xdr:rowOff>
                  </to>
                </anchor>
              </controlPr>
            </control>
          </mc:Choice>
        </mc:AlternateContent>
        <mc:AlternateContent xmlns:mc="http://schemas.openxmlformats.org/markup-compatibility/2006">
          <mc:Choice Requires="x14">
            <control shapeId="697343" r:id="rId9" name="Drop Down 3071">
              <controlPr defaultSize="0" autoLine="0" autoPict="0">
                <anchor moveWithCells="1">
                  <from>
                    <xdr:col>11</xdr:col>
                    <xdr:colOff>9525</xdr:colOff>
                    <xdr:row>11</xdr:row>
                    <xdr:rowOff>0</xdr:rowOff>
                  </from>
                  <to>
                    <xdr:col>12</xdr:col>
                    <xdr:colOff>66675</xdr:colOff>
                    <xdr:row>12</xdr:row>
                    <xdr:rowOff>9525</xdr:rowOff>
                  </to>
                </anchor>
              </controlPr>
            </control>
          </mc:Choice>
        </mc:AlternateContent>
        <mc:AlternateContent xmlns:mc="http://schemas.openxmlformats.org/markup-compatibility/2006">
          <mc:Choice Requires="x14">
            <control shapeId="714798" r:id="rId10" name="Drop Down 3118">
              <controlPr defaultSize="0" autoLine="0" autoPict="0">
                <anchor moveWithCells="1">
                  <from>
                    <xdr:col>4</xdr:col>
                    <xdr:colOff>0</xdr:colOff>
                    <xdr:row>30</xdr:row>
                    <xdr:rowOff>9525</xdr:rowOff>
                  </from>
                  <to>
                    <xdr:col>5</xdr:col>
                    <xdr:colOff>266700</xdr:colOff>
                    <xdr:row>31</xdr:row>
                    <xdr:rowOff>9525</xdr:rowOff>
                  </to>
                </anchor>
              </controlPr>
            </control>
          </mc:Choice>
        </mc:AlternateContent>
        <mc:AlternateContent xmlns:mc="http://schemas.openxmlformats.org/markup-compatibility/2006">
          <mc:Choice Requires="x14">
            <control shapeId="715085" r:id="rId11" name="Drop Down 3405">
              <controlPr locked="0" defaultSize="0" autoLine="0" autoPict="0">
                <anchor moveWithCells="1">
                  <from>
                    <xdr:col>4</xdr:col>
                    <xdr:colOff>0</xdr:colOff>
                    <xdr:row>7</xdr:row>
                    <xdr:rowOff>190500</xdr:rowOff>
                  </from>
                  <to>
                    <xdr:col>5</xdr:col>
                    <xdr:colOff>76200</xdr:colOff>
                    <xdr:row>8</xdr:row>
                    <xdr:rowOff>190500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39" id="{2F97F2FF-95A0-40C5-B045-6ADA68EA7C2F}">
            <xm:f>'Variable Mgmt'!$B$52</xm:f>
            <x14:dxf>
              <font>
                <strike val="0"/>
                <color theme="0"/>
              </font>
              <fill>
                <patternFill>
                  <bgColor theme="0"/>
                </patternFill>
              </fill>
            </x14:dxf>
          </x14:cfRule>
          <xm:sqref>E12:E13</xm:sqref>
        </x14:conditionalFormatting>
        <x14:conditionalFormatting xmlns:xm="http://schemas.microsoft.com/office/excel/2006/main">
          <x14:cfRule type="expression" priority="141" id="{9B976DD7-FFA8-454F-A63D-186A721FDF9C}">
            <xm:f>'Variable Mgmt'!$B$52</xm:f>
            <x14:dxf>
              <border>
                <bottom/>
                <vertical/>
                <horizontal/>
              </border>
            </x14:dxf>
          </x14:cfRule>
          <xm:sqref>A12:F13</xm:sqref>
        </x14:conditionalFormatting>
        <x14:conditionalFormatting xmlns:xm="http://schemas.microsoft.com/office/excel/2006/main">
          <x14:cfRule type="expression" priority="142" id="{25C53C6F-CE07-4419-8FCF-F6B8FCD8434A}">
            <xm:f>'Variable Mgmt'!$B$52</xm:f>
            <x14:dxf>
              <border>
                <right/>
                <vertical/>
                <horizontal/>
              </border>
            </x14:dxf>
          </x14:cfRule>
          <xm:sqref>F12:F13</xm:sqref>
        </x14:conditionalFormatting>
        <x14:conditionalFormatting xmlns:xm="http://schemas.microsoft.com/office/excel/2006/main">
          <x14:cfRule type="expression" priority="12" id="{56BB0655-3B2C-4E9D-AD05-7700A46C30F4}">
            <xm:f>'Variable Mgmt'!$B$52=FALSE</xm:f>
            <x14:dxf>
              <border>
                <bottom/>
                <vertical/>
                <horizontal/>
              </border>
            </x14:dxf>
          </x14:cfRule>
          <xm:sqref>A12:F12</xm:sqref>
        </x14:conditionalFormatting>
        <x14:conditionalFormatting xmlns:xm="http://schemas.microsoft.com/office/excel/2006/main">
          <x14:cfRule type="expression" priority="11" id="{7DE853EF-1754-4C48-A140-FF26B3EC5CF8}">
            <xm:f>'Variable Mgmt'!$B$52=FALSE</xm:f>
            <x14:dxf>
              <border>
                <bottom/>
                <vertical/>
                <horizontal/>
              </border>
            </x14:dxf>
          </x14:cfRule>
          <xm:sqref>A11:F11</xm:sqref>
        </x14:conditionalFormatting>
        <x14:conditionalFormatting xmlns:xm="http://schemas.microsoft.com/office/excel/2006/main">
          <x14:cfRule type="expression" priority="6" id="{18CE8F81-B526-43C7-B5F1-BAA9C73809CD}">
            <xm:f>'Variable Mgmt'!$B$52=TRUE</xm:f>
            <x14:dxf>
              <font>
                <color theme="0"/>
              </font>
              <fill>
                <patternFill>
                  <bgColor theme="0"/>
                </patternFill>
              </fill>
              <border>
                <right/>
                <top/>
                <bottom/>
              </border>
            </x14:dxf>
          </x14:cfRule>
          <xm:sqref>K20:M23</xm:sqref>
        </x14:conditionalFormatting>
        <x14:conditionalFormatting xmlns:xm="http://schemas.microsoft.com/office/excel/2006/main">
          <x14:cfRule type="expression" priority="5" id="{B42E45EE-F49B-4512-9DB9-8B85B95C6919}">
            <xm:f>'Variable Mgmt'!$B$52=TRUE</xm:f>
            <x14:dxf>
              <border>
                <left/>
                <right/>
                <top/>
                <bottom/>
                <vertical/>
                <horizontal/>
              </border>
            </x14:dxf>
          </x14:cfRule>
          <xm:sqref>H20:J23</xm:sqref>
        </x14:conditionalFormatting>
        <x14:conditionalFormatting xmlns:xm="http://schemas.microsoft.com/office/excel/2006/main">
          <x14:cfRule type="expression" priority="4" id="{8076779E-531E-4945-9FF1-9C72CDB0D6DC}">
            <xm:f>'Variable Mgmt'!$B$52=TRUE</xm:f>
            <x14:dxf>
              <border>
                <top/>
                <bottom/>
                <vertical/>
                <horizontal/>
              </border>
            </x14:dxf>
          </x14:cfRule>
          <xm:sqref>G21:G22</xm:sqref>
        </x14:conditionalFormatting>
        <x14:conditionalFormatting xmlns:xm="http://schemas.microsoft.com/office/excel/2006/main">
          <x14:cfRule type="expression" priority="145" id="{2E385B5D-C8C9-48C7-B4AE-E1A8F27EB6E6}">
            <xm:f>AND('Variable Mgmt'!#REF!&gt;'Variable Mgmt'!$B$56*1/1000, MODE=1)</xm:f>
            <x14:dxf>
              <font>
                <color rgb="FFFF0000"/>
              </font>
            </x14:dxf>
          </x14:cfRule>
          <xm:sqref>L7</xm:sqref>
        </x14:conditionalFormatting>
        <x14:conditionalFormatting xmlns:xm="http://schemas.microsoft.com/office/excel/2006/main">
          <x14:cfRule type="expression" priority="146" id="{EE277573-B7FD-4D2F-97C3-CC46EAD89E7B}">
            <xm:f>AND('Variable Mgmt'!#REF!&gt;'Variable Mgmt'!$B$56*1/1000, MODE=1)</xm:f>
            <x14:dxf>
              <font>
                <b/>
                <i val="0"/>
                <color rgb="FFFF0000"/>
              </font>
            </x14:dxf>
          </x14:cfRule>
          <xm:sqref>L12</xm:sqref>
        </x14:conditionalFormatting>
        <x14:conditionalFormatting xmlns:xm="http://schemas.microsoft.com/office/excel/2006/main">
          <x14:cfRule type="expression" priority="3" id="{DA50B535-B6B5-4DFB-9CBC-C505A48C7EB5}">
            <xm:f>'Variable Mgmt'!$B$52=TRUE</xm:f>
            <x14:dxf>
              <font>
                <color theme="0"/>
              </font>
              <fill>
                <patternFill>
                  <bgColor theme="0"/>
                </patternFill>
              </fill>
            </x14:dxf>
          </x14:cfRule>
          <xm:sqref>L10</xm:sqref>
        </x14:conditionalFormatting>
        <x14:conditionalFormatting xmlns:xm="http://schemas.microsoft.com/office/excel/2006/main">
          <x14:cfRule type="expression" priority="2" id="{FB76FAF3-E114-4E5D-9585-0FED8547CF75}">
            <xm:f>'Variable Mgmt'!$D$38=TRUE</xm:f>
            <x14:dxf>
              <font>
                <color theme="0"/>
              </font>
              <fill>
                <patternFill patternType="solid">
                  <fgColor auto="1"/>
                  <bgColor rgb="FFFF0000"/>
                </patternFill>
              </fill>
            </x14:dxf>
          </x14:cfRule>
          <xm:sqref>L15:M15</xm:sqref>
        </x14:conditionalFormatting>
        <x14:conditionalFormatting xmlns:xm="http://schemas.microsoft.com/office/excel/2006/main">
          <x14:cfRule type="expression" priority="1" id="{2E35C64D-1122-4B17-B495-E52D781938E1}">
            <xm:f>'Variable Mgmt'!$D$61=TRUE</xm:f>
            <x14:dxf>
              <font>
                <strike val="0"/>
                <color theme="0"/>
              </font>
              <fill>
                <patternFill>
                  <bgColor rgb="FFFF0000"/>
                </patternFill>
              </fill>
            </x14:dxf>
          </x14:cfRule>
          <xm:sqref>L14:M14</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2:B7"/>
  <sheetViews>
    <sheetView topLeftCell="A7" zoomScaleNormal="100" workbookViewId="0">
      <selection activeCell="B12" sqref="B12"/>
    </sheetView>
  </sheetViews>
  <sheetFormatPr defaultRowHeight="12.75" x14ac:dyDescent="0.2"/>
  <cols>
    <col min="2" max="2" width="126.42578125" customWidth="1"/>
  </cols>
  <sheetData>
    <row r="2" spans="1:2" ht="17.25" customHeight="1" x14ac:dyDescent="0.2">
      <c r="A2" s="78" t="str">
        <f>CHOOSE(MODE, "Fsw_SINGLE", "Fsw_DUAL")</f>
        <v>Fsw_SINGLE</v>
      </c>
    </row>
    <row r="5" spans="1:2" ht="409.5" customHeight="1" x14ac:dyDescent="0.2">
      <c r="B5" s="366"/>
    </row>
    <row r="6" spans="1:2" ht="17.100000000000001" customHeight="1" x14ac:dyDescent="0.2"/>
    <row r="7" spans="1:2" ht="409.5" customHeight="1" x14ac:dyDescent="0.2">
      <c r="B7" s="366"/>
    </row>
  </sheetData>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sheetPr>
  <dimension ref="A2:T67"/>
  <sheetViews>
    <sheetView topLeftCell="C1" zoomScaleNormal="100" zoomScaleSheetLayoutView="145" workbookViewId="0">
      <selection activeCell="H21" sqref="H21"/>
    </sheetView>
  </sheetViews>
  <sheetFormatPr defaultRowHeight="12.75" x14ac:dyDescent="0.2"/>
  <cols>
    <col min="1" max="1" width="12.7109375" style="366" customWidth="1"/>
    <col min="2" max="2" width="124.7109375" style="12" customWidth="1"/>
    <col min="3" max="4" width="9.140625" style="366"/>
    <col min="5" max="5" width="124.7109375" style="8" customWidth="1"/>
    <col min="8" max="8" width="124.7109375" style="367" customWidth="1"/>
  </cols>
  <sheetData>
    <row r="2" spans="1:15" x14ac:dyDescent="0.2">
      <c r="A2" s="366" t="str">
        <f>'Variable Mgmt'!K44</f>
        <v>SCH_SINGLE_UVLOadj_SSadj_TCyes</v>
      </c>
    </row>
    <row r="5" spans="1:15" s="366" customFormat="1" ht="13.5" customHeight="1" x14ac:dyDescent="0.2">
      <c r="E5" s="367"/>
      <c r="H5" s="367"/>
    </row>
    <row r="6" spans="1:15" s="366" customFormat="1" ht="16.5" customHeight="1" x14ac:dyDescent="0.2">
      <c r="E6" s="367"/>
      <c r="H6" s="367"/>
    </row>
    <row r="7" spans="1:15" ht="357" customHeight="1" x14ac:dyDescent="0.2">
      <c r="B7" s="13"/>
      <c r="E7" s="394"/>
      <c r="F7" s="12"/>
      <c r="G7" s="12"/>
      <c r="I7" s="12"/>
      <c r="J7" s="12"/>
      <c r="K7" s="12"/>
      <c r="L7" s="12"/>
      <c r="M7" s="12"/>
      <c r="N7" s="12"/>
    </row>
    <row r="8" spans="1:15" s="366" customFormat="1" ht="17.25" customHeight="1" x14ac:dyDescent="0.2">
      <c r="B8" s="367"/>
      <c r="E8" s="367"/>
      <c r="H8" s="367"/>
      <c r="O8" s="368"/>
    </row>
    <row r="9" spans="1:15" ht="357" customHeight="1" x14ac:dyDescent="0.2">
      <c r="B9" s="113"/>
      <c r="D9" s="367"/>
      <c r="E9" s="394"/>
      <c r="F9" s="366"/>
      <c r="G9" s="12"/>
      <c r="I9" s="12"/>
      <c r="J9" s="12"/>
      <c r="K9" s="12"/>
      <c r="L9" s="12"/>
      <c r="M9" s="12"/>
      <c r="N9" s="12"/>
      <c r="O9" s="369"/>
    </row>
    <row r="10" spans="1:15" s="366" customFormat="1" x14ac:dyDescent="0.2">
      <c r="E10" s="367"/>
      <c r="H10" s="367"/>
    </row>
    <row r="11" spans="1:15" ht="357" customHeight="1" x14ac:dyDescent="0.2">
      <c r="B11" s="394"/>
      <c r="D11" s="367"/>
      <c r="E11" s="367"/>
      <c r="F11" s="366"/>
      <c r="G11" s="12"/>
      <c r="I11" s="12"/>
      <c r="J11" s="12"/>
      <c r="K11" s="12"/>
      <c r="L11" s="12"/>
      <c r="M11" s="12"/>
      <c r="N11" s="12"/>
      <c r="O11" s="369"/>
    </row>
    <row r="12" spans="1:15" x14ac:dyDescent="0.2">
      <c r="B12" s="366"/>
      <c r="E12" s="367"/>
      <c r="F12" s="366"/>
      <c r="G12" s="12"/>
      <c r="I12" s="12"/>
      <c r="J12" s="12"/>
      <c r="K12" s="12"/>
      <c r="L12" s="12"/>
      <c r="M12" s="12"/>
      <c r="N12" s="12"/>
    </row>
    <row r="13" spans="1:15" ht="357" customHeight="1" x14ac:dyDescent="0.2">
      <c r="B13" s="394"/>
      <c r="E13" s="367"/>
      <c r="F13" s="366"/>
      <c r="G13" s="12"/>
      <c r="I13" s="12"/>
      <c r="J13" s="12"/>
      <c r="K13" s="12"/>
      <c r="L13" s="12"/>
      <c r="M13" s="12"/>
      <c r="N13" s="12"/>
      <c r="O13" s="369"/>
    </row>
    <row r="14" spans="1:15" x14ac:dyDescent="0.2">
      <c r="B14" s="366"/>
      <c r="E14" s="367"/>
      <c r="F14" s="366"/>
      <c r="G14" s="12"/>
      <c r="I14" s="12"/>
      <c r="J14" s="12"/>
      <c r="K14" s="12"/>
      <c r="L14" s="12"/>
      <c r="M14" s="12"/>
      <c r="N14" s="12"/>
    </row>
    <row r="15" spans="1:15" ht="357" customHeight="1" x14ac:dyDescent="0.2">
      <c r="E15" s="367"/>
      <c r="F15" s="366"/>
      <c r="G15" s="12"/>
      <c r="I15" s="12"/>
      <c r="J15" s="12"/>
      <c r="K15" s="12"/>
      <c r="L15" s="12"/>
      <c r="M15" s="12"/>
      <c r="N15" s="12"/>
      <c r="O15" s="369"/>
    </row>
    <row r="16" spans="1:15" x14ac:dyDescent="0.2">
      <c r="B16" s="366"/>
      <c r="E16" s="367"/>
      <c r="F16" s="12"/>
      <c r="G16" s="12"/>
      <c r="I16" s="12"/>
      <c r="J16" s="12"/>
      <c r="K16" s="12"/>
      <c r="L16" s="12"/>
      <c r="M16" s="12"/>
      <c r="N16" s="12"/>
    </row>
    <row r="17" spans="2:15" ht="357" customHeight="1" x14ac:dyDescent="0.2">
      <c r="B17" s="394"/>
      <c r="E17" s="367"/>
      <c r="F17" s="366"/>
      <c r="G17" s="12"/>
      <c r="I17" s="12"/>
      <c r="J17" s="12"/>
      <c r="K17" s="12"/>
      <c r="L17" s="12"/>
      <c r="M17" s="12"/>
      <c r="N17" s="12"/>
      <c r="O17" s="369"/>
    </row>
    <row r="18" spans="2:15" ht="12" customHeight="1" x14ac:dyDescent="0.2">
      <c r="B18" s="366"/>
      <c r="E18" s="367"/>
      <c r="F18" s="12"/>
      <c r="G18" s="12"/>
      <c r="I18" s="12"/>
      <c r="J18" s="12"/>
      <c r="K18" s="12"/>
      <c r="L18" s="12"/>
      <c r="M18" s="12"/>
      <c r="N18" s="12"/>
    </row>
    <row r="19" spans="2:15" ht="357" customHeight="1" x14ac:dyDescent="0.2">
      <c r="B19" s="366"/>
      <c r="E19" s="367"/>
      <c r="F19" s="12"/>
      <c r="G19" s="12"/>
      <c r="I19" s="12"/>
      <c r="J19" s="12"/>
      <c r="K19" s="12"/>
      <c r="L19" s="12"/>
      <c r="M19" s="12"/>
      <c r="N19" s="12"/>
    </row>
    <row r="20" spans="2:15" ht="13.5" customHeight="1" x14ac:dyDescent="0.2">
      <c r="B20" s="366"/>
      <c r="E20" s="367"/>
      <c r="F20" s="12"/>
      <c r="G20" s="12"/>
      <c r="I20" s="12"/>
      <c r="J20" s="12"/>
      <c r="K20" s="12"/>
      <c r="L20" s="12"/>
      <c r="M20" s="12"/>
      <c r="N20" s="12"/>
    </row>
    <row r="21" spans="2:15" ht="357" customHeight="1" x14ac:dyDescent="0.2">
      <c r="B21" s="366"/>
      <c r="E21" s="367"/>
      <c r="F21" s="12"/>
      <c r="G21" s="12"/>
      <c r="I21" s="12"/>
      <c r="J21" s="12"/>
      <c r="K21" s="12"/>
      <c r="L21" s="12"/>
      <c r="M21" s="12"/>
      <c r="N21" s="12"/>
    </row>
    <row r="22" spans="2:15" x14ac:dyDescent="0.2">
      <c r="B22" s="366"/>
      <c r="E22" s="367"/>
      <c r="F22" s="12"/>
      <c r="G22" s="12"/>
      <c r="I22" s="12"/>
      <c r="J22" s="12"/>
      <c r="K22" s="12"/>
      <c r="L22" s="12"/>
      <c r="M22" s="12"/>
      <c r="N22" s="12"/>
    </row>
    <row r="23" spans="2:15" ht="357" customHeight="1" x14ac:dyDescent="0.2">
      <c r="B23" s="366"/>
      <c r="E23" s="367"/>
      <c r="F23" s="12"/>
      <c r="G23" s="12"/>
      <c r="I23" s="12"/>
      <c r="J23" s="12"/>
      <c r="K23" s="12"/>
      <c r="L23" s="12"/>
      <c r="M23" s="12"/>
      <c r="N23" s="12"/>
    </row>
    <row r="24" spans="2:15" x14ac:dyDescent="0.2">
      <c r="B24" s="366"/>
      <c r="E24" s="367"/>
      <c r="F24" s="12"/>
      <c r="G24" s="12"/>
      <c r="I24" s="12"/>
      <c r="J24" s="12"/>
      <c r="K24" s="12"/>
      <c r="L24" s="12"/>
      <c r="M24" s="12"/>
      <c r="N24" s="12"/>
    </row>
    <row r="25" spans="2:15" ht="327.75" customHeight="1" x14ac:dyDescent="0.2">
      <c r="B25" s="366"/>
      <c r="E25" s="367"/>
      <c r="F25" s="12"/>
      <c r="G25" s="12"/>
      <c r="I25" s="12"/>
      <c r="J25" s="12"/>
      <c r="K25" s="12"/>
      <c r="L25" s="12"/>
      <c r="M25" s="12"/>
      <c r="N25" s="12"/>
    </row>
    <row r="26" spans="2:15" x14ac:dyDescent="0.2">
      <c r="E26" s="367"/>
      <c r="F26" s="12"/>
      <c r="G26" s="12"/>
      <c r="I26" s="12"/>
      <c r="J26" s="12"/>
      <c r="K26" s="12"/>
      <c r="L26" s="12"/>
      <c r="M26" s="12"/>
      <c r="N26" s="12"/>
    </row>
    <row r="27" spans="2:15" ht="327.60000000000002" customHeight="1" x14ac:dyDescent="0.2">
      <c r="B27" s="366"/>
      <c r="E27" s="367"/>
      <c r="F27" s="12"/>
      <c r="G27" s="12"/>
      <c r="I27" s="12"/>
      <c r="J27" s="12"/>
      <c r="K27" s="12"/>
      <c r="L27" s="12"/>
      <c r="M27" s="12"/>
      <c r="N27" s="12"/>
    </row>
    <row r="28" spans="2:15" x14ac:dyDescent="0.2">
      <c r="B28" s="366"/>
      <c r="E28" s="367"/>
      <c r="F28" s="12"/>
      <c r="G28" s="12"/>
      <c r="I28" s="12"/>
      <c r="J28" s="12"/>
      <c r="K28" s="12"/>
      <c r="L28" s="12"/>
      <c r="M28" s="12"/>
      <c r="N28" s="12"/>
    </row>
    <row r="29" spans="2:15" ht="327.75" customHeight="1" x14ac:dyDescent="0.2">
      <c r="B29" s="366"/>
      <c r="E29" s="367"/>
      <c r="F29" s="12"/>
      <c r="G29" s="12"/>
      <c r="I29" s="12"/>
      <c r="J29" s="12"/>
      <c r="K29" s="12"/>
      <c r="L29" s="12"/>
      <c r="M29" s="12"/>
      <c r="N29" s="12"/>
    </row>
    <row r="30" spans="2:15" ht="13.5" customHeight="1" x14ac:dyDescent="0.2">
      <c r="B30" s="366"/>
      <c r="E30" s="367"/>
      <c r="F30" s="12"/>
      <c r="G30" s="12"/>
      <c r="I30" s="12"/>
      <c r="J30" s="12"/>
      <c r="K30" s="12"/>
      <c r="L30" s="12"/>
      <c r="M30" s="12"/>
      <c r="N30" s="12"/>
    </row>
    <row r="31" spans="2:15" ht="327.75" customHeight="1" x14ac:dyDescent="0.2">
      <c r="B31" s="366"/>
      <c r="E31" s="367"/>
      <c r="F31" s="12"/>
      <c r="G31" s="12"/>
      <c r="I31" s="12"/>
      <c r="J31" s="12"/>
      <c r="K31" s="12"/>
      <c r="L31" s="12"/>
      <c r="M31" s="12"/>
      <c r="N31" s="12"/>
    </row>
    <row r="32" spans="2:15" ht="13.5" customHeight="1" x14ac:dyDescent="0.2">
      <c r="B32" s="366"/>
      <c r="E32" s="367"/>
      <c r="F32" s="12"/>
      <c r="G32" s="12"/>
      <c r="I32" s="12"/>
      <c r="J32" s="12"/>
      <c r="K32" s="12"/>
      <c r="L32" s="12"/>
      <c r="M32" s="12"/>
      <c r="N32" s="12"/>
    </row>
    <row r="33" spans="2:20" ht="327.75" customHeight="1" x14ac:dyDescent="0.2">
      <c r="B33" s="366"/>
      <c r="E33" s="367"/>
      <c r="F33" s="12"/>
      <c r="G33" s="12"/>
      <c r="I33" s="12"/>
      <c r="J33" s="12"/>
      <c r="K33" s="12"/>
      <c r="L33" s="12"/>
      <c r="M33" s="12"/>
      <c r="N33" s="12"/>
    </row>
    <row r="34" spans="2:20" ht="13.5" customHeight="1" x14ac:dyDescent="0.2">
      <c r="B34" s="366"/>
      <c r="E34" s="367"/>
      <c r="F34" s="12"/>
      <c r="G34" s="12"/>
      <c r="I34" s="12"/>
      <c r="J34" s="12"/>
      <c r="K34" s="12"/>
      <c r="L34" s="12"/>
      <c r="M34" s="12"/>
      <c r="N34" s="12"/>
    </row>
    <row r="35" spans="2:20" ht="327.60000000000002" customHeight="1" x14ac:dyDescent="0.2">
      <c r="B35" s="366"/>
      <c r="E35" s="367"/>
      <c r="F35" s="12"/>
      <c r="G35" s="12"/>
      <c r="I35" s="12"/>
      <c r="J35" s="12"/>
      <c r="K35" s="12"/>
      <c r="L35" s="12"/>
      <c r="M35" s="12"/>
      <c r="N35" s="12"/>
    </row>
    <row r="36" spans="2:20" ht="13.5" customHeight="1" x14ac:dyDescent="0.2">
      <c r="B36" s="366"/>
      <c r="E36" s="367"/>
      <c r="F36" s="12"/>
      <c r="G36" s="12"/>
      <c r="I36" s="12"/>
      <c r="J36" s="12"/>
      <c r="K36" s="12"/>
      <c r="L36" s="12"/>
      <c r="M36" s="12"/>
      <c r="N36" s="12"/>
    </row>
    <row r="37" spans="2:20" ht="327.75" customHeight="1" x14ac:dyDescent="0.2">
      <c r="B37" s="366"/>
      <c r="E37" s="367"/>
      <c r="F37" s="12"/>
      <c r="G37" s="12"/>
      <c r="I37" s="12"/>
      <c r="J37" s="12"/>
      <c r="K37" s="12"/>
      <c r="L37" s="12"/>
      <c r="M37" s="12"/>
      <c r="N37" s="12"/>
    </row>
    <row r="38" spans="2:20" ht="13.5" customHeight="1" x14ac:dyDescent="0.35">
      <c r="B38" s="366"/>
      <c r="E38" s="367"/>
      <c r="F38" s="12"/>
      <c r="G38" s="370"/>
      <c r="I38" s="371"/>
      <c r="J38" s="12"/>
      <c r="K38" s="12"/>
      <c r="L38" s="12"/>
      <c r="M38" s="12"/>
      <c r="N38" s="12"/>
    </row>
    <row r="39" spans="2:20" ht="327.75" customHeight="1" x14ac:dyDescent="0.2">
      <c r="B39" s="366"/>
      <c r="E39" s="367"/>
      <c r="F39" s="12"/>
      <c r="G39" s="12"/>
      <c r="I39" s="371"/>
      <c r="J39" s="12"/>
      <c r="K39" s="12"/>
      <c r="L39" s="12"/>
      <c r="M39" s="12"/>
      <c r="N39" s="12"/>
    </row>
    <row r="40" spans="2:20" x14ac:dyDescent="0.2">
      <c r="B40" s="366"/>
      <c r="E40" s="367"/>
      <c r="F40" s="12"/>
      <c r="G40" s="12"/>
      <c r="I40" s="12"/>
      <c r="J40" s="12"/>
      <c r="K40" s="12"/>
      <c r="L40" s="12"/>
      <c r="M40" s="12"/>
      <c r="N40" s="12"/>
      <c r="O40" s="12"/>
      <c r="P40" s="12"/>
      <c r="Q40" s="14"/>
      <c r="S40" s="372"/>
      <c r="T40" s="372"/>
    </row>
    <row r="41" spans="2:20" ht="327.75" customHeight="1" x14ac:dyDescent="0.2">
      <c r="B41" s="366"/>
      <c r="E41" s="367"/>
      <c r="F41" s="12"/>
      <c r="G41" s="12"/>
      <c r="I41" s="12"/>
      <c r="J41" s="12"/>
      <c r="K41" s="12"/>
      <c r="L41" s="12"/>
      <c r="M41" s="12"/>
      <c r="N41" s="12"/>
      <c r="O41" s="12"/>
      <c r="P41" s="12"/>
      <c r="Q41" s="14"/>
      <c r="S41" s="372"/>
    </row>
    <row r="42" spans="2:20" x14ac:dyDescent="0.2">
      <c r="B42" s="366"/>
      <c r="E42" s="367"/>
      <c r="F42" s="12"/>
      <c r="G42" s="12"/>
      <c r="I42" s="12"/>
      <c r="J42" s="12"/>
      <c r="K42" s="12"/>
      <c r="L42" s="12"/>
      <c r="M42" s="12"/>
      <c r="N42" s="12"/>
      <c r="O42" s="12"/>
      <c r="P42" s="12"/>
      <c r="Q42" s="14"/>
      <c r="S42" s="372"/>
    </row>
    <row r="43" spans="2:20" ht="327.75" customHeight="1" x14ac:dyDescent="0.2">
      <c r="B43" s="366"/>
      <c r="E43" s="367"/>
      <c r="F43" s="12"/>
      <c r="G43" s="12"/>
      <c r="I43" s="12"/>
      <c r="J43" s="12"/>
      <c r="K43" s="12"/>
      <c r="L43" s="12"/>
      <c r="M43" s="12"/>
      <c r="N43" s="12"/>
      <c r="O43" s="12"/>
      <c r="P43" s="12"/>
      <c r="Q43" s="14"/>
      <c r="S43" s="372"/>
    </row>
    <row r="44" spans="2:20" x14ac:dyDescent="0.2">
      <c r="B44" s="366"/>
      <c r="E44" s="367"/>
      <c r="F44" s="12"/>
      <c r="G44" s="12"/>
      <c r="I44" s="12"/>
      <c r="J44" s="12"/>
      <c r="K44" s="12"/>
      <c r="L44" s="12"/>
      <c r="M44" s="12"/>
      <c r="N44" s="12"/>
      <c r="O44" s="12"/>
      <c r="P44" s="12"/>
      <c r="Q44" s="14"/>
      <c r="S44" s="372"/>
    </row>
    <row r="45" spans="2:20" ht="327.75" customHeight="1" x14ac:dyDescent="0.2">
      <c r="B45" s="366"/>
      <c r="E45" s="367"/>
      <c r="F45" s="12"/>
      <c r="G45" s="12"/>
      <c r="I45" s="12"/>
      <c r="J45" s="12"/>
      <c r="K45" s="12"/>
      <c r="L45" s="12"/>
      <c r="M45" s="12"/>
      <c r="N45" s="12"/>
      <c r="O45" s="12"/>
      <c r="P45" s="12"/>
      <c r="Q45" s="14"/>
      <c r="S45" s="372"/>
    </row>
    <row r="46" spans="2:20" x14ac:dyDescent="0.2">
      <c r="B46" s="366"/>
      <c r="E46" s="367"/>
      <c r="F46" s="12"/>
      <c r="G46" s="12"/>
      <c r="I46" s="12"/>
      <c r="J46" s="12"/>
      <c r="K46" s="12"/>
      <c r="L46" s="12"/>
      <c r="M46" s="12"/>
      <c r="N46" s="12"/>
      <c r="O46" s="12"/>
      <c r="P46" s="12"/>
      <c r="Q46" s="14"/>
      <c r="S46" s="372"/>
    </row>
    <row r="47" spans="2:20" ht="327.75" customHeight="1" x14ac:dyDescent="0.2">
      <c r="B47" s="366"/>
      <c r="E47" s="367"/>
      <c r="F47" s="12"/>
      <c r="G47" s="12"/>
      <c r="I47" s="12"/>
      <c r="J47" s="12"/>
      <c r="K47" s="12"/>
      <c r="L47" s="12"/>
      <c r="M47" s="12"/>
      <c r="N47" s="12"/>
      <c r="O47" s="12"/>
      <c r="P47" s="12"/>
      <c r="Q47" s="14"/>
      <c r="S47" s="373"/>
    </row>
    <row r="48" spans="2:20" x14ac:dyDescent="0.2">
      <c r="B48" s="366"/>
      <c r="E48" s="367"/>
      <c r="F48" s="12"/>
      <c r="G48" s="12"/>
      <c r="I48" s="12"/>
      <c r="J48" s="12"/>
      <c r="K48" s="12"/>
      <c r="L48" s="12"/>
      <c r="M48" s="12"/>
      <c r="N48" s="12"/>
      <c r="O48" s="12"/>
      <c r="P48" s="12"/>
      <c r="Q48" s="14"/>
      <c r="S48" s="372"/>
    </row>
    <row r="49" spans="2:19" ht="327.75" customHeight="1" x14ac:dyDescent="0.2">
      <c r="B49" s="366"/>
      <c r="E49" s="367"/>
      <c r="F49" s="12"/>
      <c r="G49" s="12"/>
      <c r="I49" s="12"/>
      <c r="J49" s="12"/>
      <c r="K49" s="12"/>
      <c r="L49" s="12"/>
      <c r="M49" s="12"/>
      <c r="N49" s="12"/>
      <c r="O49" s="12"/>
      <c r="P49" s="12"/>
      <c r="Q49" s="14"/>
      <c r="S49" s="372"/>
    </row>
    <row r="50" spans="2:19" x14ac:dyDescent="0.2">
      <c r="B50" s="366"/>
      <c r="E50" s="367"/>
      <c r="F50" s="12"/>
      <c r="G50" s="12"/>
      <c r="I50" s="12"/>
      <c r="J50" s="12"/>
      <c r="K50" s="12"/>
      <c r="L50" s="12"/>
      <c r="M50" s="12"/>
      <c r="N50" s="12"/>
      <c r="O50" s="12"/>
      <c r="P50" s="12"/>
      <c r="Q50" s="14"/>
      <c r="S50" s="372"/>
    </row>
    <row r="51" spans="2:19" x14ac:dyDescent="0.2">
      <c r="B51" s="366"/>
      <c r="E51" s="367"/>
      <c r="F51" s="12"/>
      <c r="G51" s="12"/>
      <c r="I51" s="12"/>
      <c r="J51" s="12"/>
      <c r="K51" s="12"/>
      <c r="L51" s="12"/>
      <c r="M51" s="12"/>
      <c r="N51" s="12"/>
      <c r="O51" s="12"/>
      <c r="P51" s="12"/>
      <c r="Q51" s="14"/>
      <c r="S51" s="372"/>
    </row>
    <row r="52" spans="2:19" x14ac:dyDescent="0.2">
      <c r="B52" s="366"/>
      <c r="E52" s="367"/>
      <c r="F52" s="12"/>
      <c r="G52" s="12"/>
      <c r="I52" s="12"/>
      <c r="J52" s="12"/>
      <c r="K52" s="12"/>
      <c r="L52" s="12"/>
      <c r="M52" s="12"/>
      <c r="N52" s="12"/>
      <c r="O52" s="12"/>
      <c r="P52" s="12"/>
      <c r="Q52" s="14"/>
      <c r="S52" s="372"/>
    </row>
    <row r="53" spans="2:19" x14ac:dyDescent="0.2">
      <c r="B53" s="366"/>
      <c r="E53" s="367"/>
      <c r="F53" s="12"/>
      <c r="G53" s="12"/>
      <c r="I53" s="12"/>
      <c r="J53" s="12"/>
      <c r="K53" s="12"/>
      <c r="L53" s="12"/>
      <c r="M53" s="12"/>
      <c r="N53" s="12"/>
    </row>
    <row r="54" spans="2:19" x14ac:dyDescent="0.2">
      <c r="B54" s="366"/>
      <c r="E54" s="367"/>
      <c r="F54" s="12"/>
      <c r="G54" s="12"/>
      <c r="I54" s="12"/>
      <c r="J54" s="12"/>
      <c r="K54" s="12"/>
      <c r="L54" s="12"/>
      <c r="M54" s="12"/>
      <c r="N54" s="12"/>
    </row>
    <row r="55" spans="2:19" x14ac:dyDescent="0.2">
      <c r="B55" s="366"/>
      <c r="E55" s="367"/>
      <c r="F55" s="12"/>
      <c r="G55" s="12"/>
      <c r="I55" s="12"/>
      <c r="J55" s="12"/>
      <c r="K55" s="12"/>
      <c r="L55" s="12"/>
      <c r="M55" s="12"/>
      <c r="N55" s="12"/>
      <c r="R55" s="15"/>
    </row>
    <row r="56" spans="2:19" x14ac:dyDescent="0.2">
      <c r="B56" s="366"/>
      <c r="E56" s="367"/>
      <c r="F56" s="12"/>
      <c r="G56" s="12"/>
      <c r="I56" s="12"/>
      <c r="J56" s="12"/>
      <c r="K56" s="12"/>
      <c r="L56" s="12"/>
      <c r="M56" s="12"/>
      <c r="N56" s="12"/>
    </row>
    <row r="57" spans="2:19" x14ac:dyDescent="0.2">
      <c r="B57" s="366"/>
      <c r="E57" s="367"/>
      <c r="F57" s="12"/>
      <c r="G57" s="12"/>
      <c r="I57" s="12"/>
      <c r="J57" s="12"/>
      <c r="K57" s="12"/>
      <c r="L57" s="12"/>
      <c r="M57" s="12"/>
      <c r="N57" s="12"/>
    </row>
    <row r="58" spans="2:19" x14ac:dyDescent="0.2">
      <c r="E58" s="13"/>
      <c r="F58" s="12"/>
      <c r="G58" s="12"/>
      <c r="I58" s="12"/>
      <c r="J58" s="12"/>
      <c r="K58" s="12"/>
      <c r="L58" s="12"/>
      <c r="M58" s="12"/>
      <c r="N58" s="12"/>
    </row>
    <row r="59" spans="2:19" x14ac:dyDescent="0.2">
      <c r="E59" s="13"/>
      <c r="F59" s="12"/>
      <c r="G59" s="12"/>
      <c r="I59" s="12"/>
      <c r="J59" s="12"/>
      <c r="K59" s="12"/>
      <c r="L59" s="12"/>
      <c r="M59" s="12"/>
      <c r="N59" s="12"/>
    </row>
    <row r="60" spans="2:19" x14ac:dyDescent="0.2">
      <c r="E60" s="13"/>
      <c r="F60" s="12"/>
      <c r="G60" s="12"/>
      <c r="I60" s="12"/>
      <c r="J60" s="12"/>
      <c r="K60" s="12"/>
      <c r="L60" s="12"/>
      <c r="M60" s="12"/>
      <c r="N60" s="12"/>
    </row>
    <row r="61" spans="2:19" x14ac:dyDescent="0.2">
      <c r="E61" s="13"/>
      <c r="F61" s="12"/>
      <c r="G61" s="12"/>
      <c r="I61" s="12"/>
      <c r="J61" s="12"/>
      <c r="K61" s="12"/>
      <c r="L61" s="12"/>
      <c r="M61" s="12"/>
      <c r="N61" s="12"/>
    </row>
    <row r="62" spans="2:19" x14ac:dyDescent="0.2">
      <c r="E62" s="13"/>
      <c r="F62" s="12"/>
      <c r="G62" s="12"/>
      <c r="I62" s="12"/>
      <c r="J62" s="12"/>
      <c r="K62" s="12"/>
      <c r="L62" s="12"/>
      <c r="M62" s="12"/>
      <c r="N62" s="12"/>
    </row>
    <row r="63" spans="2:19" x14ac:dyDescent="0.2">
      <c r="E63" s="13"/>
      <c r="F63" s="12"/>
      <c r="G63" s="12"/>
      <c r="I63" s="12"/>
      <c r="J63" s="12"/>
      <c r="K63" s="12"/>
      <c r="L63" s="12"/>
      <c r="M63" s="12"/>
      <c r="N63" s="12"/>
    </row>
    <row r="64" spans="2:19" x14ac:dyDescent="0.2">
      <c r="E64" s="13"/>
      <c r="F64" s="12"/>
      <c r="G64" s="12"/>
      <c r="I64" s="12"/>
      <c r="J64" s="12"/>
      <c r="K64" s="12"/>
      <c r="L64" s="12"/>
      <c r="M64" s="12"/>
      <c r="N64" s="12"/>
    </row>
    <row r="65" spans="5:18" x14ac:dyDescent="0.2">
      <c r="E65" s="13"/>
      <c r="F65" s="12"/>
      <c r="G65" s="12"/>
      <c r="I65" s="12"/>
      <c r="J65" s="12"/>
      <c r="K65" s="12"/>
      <c r="L65" s="12"/>
      <c r="M65" s="12"/>
      <c r="N65" s="12"/>
    </row>
    <row r="66" spans="5:18" x14ac:dyDescent="0.2">
      <c r="E66" s="13"/>
      <c r="F66" s="12"/>
      <c r="G66" s="12"/>
      <c r="I66" s="12"/>
      <c r="J66" s="12"/>
      <c r="K66" s="12"/>
      <c r="L66" s="12"/>
      <c r="M66" s="12"/>
      <c r="N66" s="12"/>
      <c r="R66" s="15"/>
    </row>
    <row r="67" spans="5:18" x14ac:dyDescent="0.2">
      <c r="E67" s="13"/>
      <c r="F67" s="12"/>
      <c r="G67" s="12"/>
      <c r="I67" s="12"/>
      <c r="J67" s="12"/>
      <c r="K67" s="12"/>
      <c r="L67" s="12"/>
      <c r="M67" s="12"/>
      <c r="N67" s="12"/>
    </row>
  </sheetData>
  <conditionalFormatting sqref="O6">
    <cfRule type="cellIs" dxfId="0" priority="1" stopIfTrue="1" operator="equal">
      <formula>"n"</formula>
    </cfRule>
  </conditionalFormatting>
  <pageMargins left="0.75" right="0.75" top="1" bottom="1" header="0.5" footer="0.5"/>
  <pageSetup scale="8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2:K159"/>
  <sheetViews>
    <sheetView workbookViewId="0">
      <selection activeCell="I10" sqref="I10"/>
    </sheetView>
  </sheetViews>
  <sheetFormatPr defaultRowHeight="12.75" x14ac:dyDescent="0.2"/>
  <cols>
    <col min="1" max="1" width="17.28515625" customWidth="1"/>
    <col min="2" max="2" width="12" bestFit="1" customWidth="1"/>
    <col min="8" max="8" width="12.140625" customWidth="1"/>
    <col min="9" max="9" width="12.42578125" bestFit="1" customWidth="1"/>
    <col min="10" max="10" width="15.42578125" customWidth="1"/>
  </cols>
  <sheetData>
    <row r="2" spans="1:11" x14ac:dyDescent="0.2">
      <c r="A2" t="s">
        <v>68</v>
      </c>
      <c r="B2" t="s">
        <v>66</v>
      </c>
      <c r="C2" t="s">
        <v>14</v>
      </c>
      <c r="D2" t="s">
        <v>28</v>
      </c>
      <c r="E2" t="s">
        <v>75</v>
      </c>
    </row>
    <row r="3" spans="1:11" x14ac:dyDescent="0.2">
      <c r="A3" t="s">
        <v>71</v>
      </c>
      <c r="B3">
        <f>Css</f>
        <v>4.0000000000000001E-8</v>
      </c>
      <c r="C3">
        <f>Cout</f>
        <v>100</v>
      </c>
      <c r="D3">
        <f>Cin</f>
        <v>22</v>
      </c>
      <c r="E3">
        <f>Cb</f>
        <v>0</v>
      </c>
      <c r="H3" t="s">
        <v>73</v>
      </c>
      <c r="I3" t="s">
        <v>74</v>
      </c>
      <c r="J3" s="4" t="s">
        <v>70</v>
      </c>
    </row>
    <row r="4" spans="1:11" x14ac:dyDescent="0.2">
      <c r="A4" s="7" t="s">
        <v>70</v>
      </c>
      <c r="B4" s="7">
        <f>SUM(B6:B158)/1000000000000</f>
        <v>3.8999999999999998E-8</v>
      </c>
      <c r="C4" s="7">
        <f>SUM(C6:C158)/1000000000000</f>
        <v>0</v>
      </c>
      <c r="D4" s="7">
        <f>SUM(D6:D158)/1000000000000</f>
        <v>0</v>
      </c>
      <c r="E4" s="7">
        <f t="shared" ref="E4" si="0">IF(E3="OPEN","OPEN",SUM(E6:E158)/1000000000000)</f>
        <v>0</v>
      </c>
      <c r="H4" s="78" t="s">
        <v>139</v>
      </c>
      <c r="I4" t="e">
        <f>Rt</f>
        <v>#NAME?</v>
      </c>
      <c r="J4" s="4" t="e">
        <f t="shared" ref="J4:J9" si="1">IF(I4&gt;(INT(0.5+100*POWER(10,IF(96*(LOG(I4)-INT(LOG(I4)))-ROUND(96*(LOG(I4)-INT(LOG(I4))),0)&lt;0,ROUND(96*(LOG(I4)-INT(LOG(I4))),0)-1,ROUND(96*(LOG(I4)-INT(LOG(I4))),0))/96))*POWER(10,INT(LOG(I4))-2)+INT(0.5+100*POWER(10,(IF(96*(LOG(I4)-INT(LOG(I4)))-ROUND(96*(LOG(I4)-INT(LOG(I4))),0)&lt;0,ROUND(96*(LOG(I4)-INT(LOG(I4))),0)-1,ROUND(96*(LOG(I4)-INT(LOG(I4))),0))+1)/96))*POWER(10,INT(LOG(I4))-2))/2,INT(0.5+100*POWER(10,(IF(96*(LOG(I4)-INT(LOG(I4)))-ROUND(96*(LOG(I4)-INT(LOG(I4))),0)&lt;0,ROUND(96*(LOG(I4)-INT(LOG(I4))),0)-1,ROUND(96*(LOG(I4)-INT(LOG(I4))),0))+1)/96))*POWER(10,INT(LOG(I4))-2),INT(0.5+100*POWER(10,IF(96*(LOG(I4)-INT(LOG(I4)))-ROUND(96*(LOG(I4)-INT(LOG(I4))),0)&lt;0,ROUND(96*(LOG(I4)-INT(LOG(I4))),0)-1,ROUND(96*(LOG(I4)-INT(LOG(I4))),0))/96))*POWER(10,INT(LOG(I4))-2))</f>
        <v>#NAME?</v>
      </c>
      <c r="K4" s="18" t="s">
        <v>136</v>
      </c>
    </row>
    <row r="5" spans="1:11" x14ac:dyDescent="0.2">
      <c r="A5" t="s">
        <v>69</v>
      </c>
      <c r="J5" s="4"/>
      <c r="K5" s="18"/>
    </row>
    <row r="6" spans="1:11" x14ac:dyDescent="0.2">
      <c r="A6">
        <v>0.47</v>
      </c>
      <c r="B6">
        <f t="shared" ref="B6:E6" si="2">IF(IF((B$3*10^12-$A7)*(B$3*10^12-$A6)*-1&lt;0,0,1)*IF(ABS(B$3*10^12-$A7)&gt;(B$3*10^12-$A6),$A6,$A7)=B7,0,IF((B$3*10^12-$A7)*(B$3*10^12-$A6)*-1&lt;0,0,1)*IF(ABS(B$3*10^12-$A7)&gt;(B$3*10^12-$A6),$A6,$A7))</f>
        <v>0</v>
      </c>
      <c r="C6">
        <f t="shared" si="2"/>
        <v>0</v>
      </c>
      <c r="D6">
        <f t="shared" si="2"/>
        <v>0</v>
      </c>
      <c r="E6">
        <f t="shared" si="2"/>
        <v>0</v>
      </c>
      <c r="H6" s="78" t="s">
        <v>163</v>
      </c>
      <c r="I6" t="e">
        <f>Rshunt</f>
        <v>#NAME?</v>
      </c>
      <c r="J6" s="4" t="e">
        <f t="shared" si="1"/>
        <v>#NAME?</v>
      </c>
      <c r="K6" s="18" t="s">
        <v>136</v>
      </c>
    </row>
    <row r="7" spans="1:11" x14ac:dyDescent="0.2">
      <c r="A7">
        <v>0.56000000000000005</v>
      </c>
      <c r="B7">
        <f t="shared" ref="B7:B70" si="3">IF(IF((B$3*10^12-$A8)*(B$3*10^12-$A7)*-1&lt;0,0,1)*IF(ABS(B$3*10^12-$A8)&gt;(B$3*10^12-$A7),$A7,$A8)=B8,0,IF((B$3*10^12-$A8)*(B$3*10^12-$A7)*-1&lt;0,0,1)*IF(ABS(B$3*10^12-$A8)&gt;(B$3*10^12-$A7),$A7,$A8))</f>
        <v>0</v>
      </c>
      <c r="C7">
        <f t="shared" ref="C7:C69" si="4">IF(IF((C$3*10^12-$A8)*(C$3*10^12-$A7)*-1&lt;0,0,1)*IF(ABS(C$3*10^12-$A8)&gt;(C$3*10^12-$A7),$A7,$A8)=C8,0,IF((C$3*10^12-$A8)*(C$3*10^12-$A7)*-1&lt;0,0,1)*IF(ABS(C$3*10^12-$A8)&gt;(C$3*10^12-$A7),$A7,$A8))</f>
        <v>0</v>
      </c>
      <c r="D7">
        <f t="shared" ref="D7:D69" si="5">IF(IF((D$3*10^12-$A8)*(D$3*10^12-$A7)*-1&lt;0,0,1)*IF(ABS(D$3*10^12-$A8)&gt;(D$3*10^12-$A7),$A7,$A8)=D8,0,IF((D$3*10^12-$A8)*(D$3*10^12-$A7)*-1&lt;0,0,1)*IF(ABS(D$3*10^12-$A8)&gt;(D$3*10^12-$A7),$A7,$A8))</f>
        <v>0</v>
      </c>
      <c r="E7">
        <f t="shared" ref="E7:E37" si="6">IF(IF((E$3*10^12-$A8)*(E$3*10^12-$A7)*-1&lt;0,0,1)*IF(ABS(E$3*10^12-$A8)&gt;(E$3*10^12-$A7),$A7,$A8)=E8,0,IF((E$3*10^12-$A8)*(E$3*10^12-$A7)*-1&lt;0,0,1)*IF(ABS(E$3*10^12-$A8)&gt;(E$3*10^12-$A7),$A7,$A8))</f>
        <v>0</v>
      </c>
      <c r="H7" t="s">
        <v>79</v>
      </c>
      <c r="I7" t="e">
        <f>Rcea1</f>
        <v>#NAME?</v>
      </c>
      <c r="J7" s="4" t="e">
        <f t="shared" si="1"/>
        <v>#NAME?</v>
      </c>
      <c r="K7" s="18" t="s">
        <v>136</v>
      </c>
    </row>
    <row r="8" spans="1:11" x14ac:dyDescent="0.2">
      <c r="A8">
        <v>0.68</v>
      </c>
      <c r="B8">
        <f t="shared" si="3"/>
        <v>0</v>
      </c>
      <c r="C8">
        <f t="shared" si="4"/>
        <v>0</v>
      </c>
      <c r="D8">
        <f t="shared" si="5"/>
        <v>0</v>
      </c>
      <c r="E8">
        <f t="shared" si="6"/>
        <v>0</v>
      </c>
      <c r="J8" s="4"/>
      <c r="K8" s="18"/>
    </row>
    <row r="9" spans="1:11" x14ac:dyDescent="0.2">
      <c r="A9">
        <v>0.82</v>
      </c>
      <c r="B9">
        <f t="shared" si="3"/>
        <v>0</v>
      </c>
      <c r="C9">
        <f t="shared" si="4"/>
        <v>0</v>
      </c>
      <c r="D9">
        <f t="shared" si="5"/>
        <v>0</v>
      </c>
      <c r="E9">
        <f t="shared" si="6"/>
        <v>0</v>
      </c>
      <c r="H9" t="s">
        <v>387</v>
      </c>
      <c r="I9">
        <f>RTC_1</f>
        <v>1818750</v>
      </c>
      <c r="J9" s="4">
        <f t="shared" si="1"/>
        <v>1820000</v>
      </c>
      <c r="K9" s="18" t="s">
        <v>136</v>
      </c>
    </row>
    <row r="10" spans="1:11" x14ac:dyDescent="0.2">
      <c r="A10">
        <v>1</v>
      </c>
      <c r="B10">
        <f t="shared" si="3"/>
        <v>0</v>
      </c>
      <c r="C10">
        <f t="shared" si="4"/>
        <v>0</v>
      </c>
      <c r="D10">
        <f t="shared" si="5"/>
        <v>0</v>
      </c>
      <c r="E10">
        <f t="shared" si="6"/>
        <v>0</v>
      </c>
      <c r="H10" t="s">
        <v>17</v>
      </c>
      <c r="I10">
        <f>Rfb</f>
        <v>727500</v>
      </c>
      <c r="J10" s="4">
        <f>IF(I10="OPEN","OPEN",IF(I10&gt;(INT(0.5+100*POWER(10,IF(96*(LOG(I10)-INT(LOG(I10)))-ROUND(96*(LOG(I10)-INT(LOG(I10))),0)&lt;0,ROUND(96*(LOG(I10)-INT(LOG(I10))),0)-1,ROUND(96*(LOG(I10)-INT(LOG(I10))),0))/96))*POWER(10,INT(LOG(I10))-2)+INT(0.5+100*POWER(10,(IF(96*(LOG(I10)-INT(LOG(I10)))-ROUND(96*(LOG(I10)-INT(LOG(I10))),0)&lt;0,ROUND(96*(LOG(I10)-INT(LOG(I10))),0)-1,ROUND(96*(LOG(I10)-INT(LOG(I10))),0))+1)/96))*POWER(10,INT(LOG(I10))-2))/2,INT(0.5+100*POWER(10,(IF(96*(LOG(I10)-INT(LOG(I10)))-ROUND(96*(LOG(I10)-INT(LOG(I10))),0)&lt;0,ROUND(96*(LOG(I10)-INT(LOG(I10))),0)-1,ROUND(96*(LOG(I10)-INT(LOG(I10))),0))+1)/96))*POWER(10,INT(LOG(I10))-2),INT(0.5+100*POWER(10,IF(96*(LOG(I10)-INT(LOG(I10)))-ROUND(96*(LOG(I10)-INT(LOG(I10))),0)&lt;0,ROUND(96*(LOG(I10)-INT(LOG(I10))),0)-1,ROUND(96*(LOG(I10)-INT(LOG(I10))),0))/96))*POWER(10,INT(LOG(I10))-2)))</f>
        <v>732000</v>
      </c>
      <c r="K10" s="18" t="s">
        <v>136</v>
      </c>
    </row>
    <row r="11" spans="1:11" x14ac:dyDescent="0.2">
      <c r="A11">
        <v>1.2</v>
      </c>
      <c r="B11">
        <f t="shared" si="3"/>
        <v>0</v>
      </c>
      <c r="C11">
        <f t="shared" si="4"/>
        <v>0</v>
      </c>
      <c r="D11">
        <f t="shared" si="5"/>
        <v>0</v>
      </c>
      <c r="E11">
        <f t="shared" si="6"/>
        <v>0</v>
      </c>
      <c r="J11" s="4"/>
    </row>
    <row r="12" spans="1:11" x14ac:dyDescent="0.2">
      <c r="A12">
        <v>1.5</v>
      </c>
      <c r="B12">
        <f t="shared" si="3"/>
        <v>0</v>
      </c>
      <c r="C12">
        <f t="shared" si="4"/>
        <v>0</v>
      </c>
      <c r="D12">
        <f t="shared" si="5"/>
        <v>0</v>
      </c>
      <c r="E12">
        <f t="shared" si="6"/>
        <v>0</v>
      </c>
      <c r="J12" s="4"/>
    </row>
    <row r="13" spans="1:11" x14ac:dyDescent="0.2">
      <c r="A13">
        <v>1.8</v>
      </c>
      <c r="B13">
        <f t="shared" si="3"/>
        <v>0</v>
      </c>
      <c r="C13">
        <f t="shared" si="4"/>
        <v>0</v>
      </c>
      <c r="D13">
        <f t="shared" si="5"/>
        <v>0</v>
      </c>
      <c r="E13">
        <f t="shared" si="6"/>
        <v>0</v>
      </c>
      <c r="H13" s="78" t="s">
        <v>76</v>
      </c>
      <c r="I13" t="e">
        <f>Rs_ideal*1000</f>
        <v>#NAME?</v>
      </c>
      <c r="J13" s="4" t="e">
        <f>IF(I13=0,0,IF(I13&gt;(INT(0.5+100*POWER(10,IF(96*(LOG(I13)-INT(LOG(I13)))-ROUND(96*(LOG(I13)-INT(LOG(I13))),0)&lt;0,ROUND(96*(LOG(I13)-INT(LOG(I13))),0)-1,ROUND(96*(LOG(I13)-INT(LOG(I13))),0))/96))*POWER(10,INT(LOG(I13))-2)+INT(0.5+100*POWER(10,(IF(96*(LOG(I13)-INT(LOG(I13)))-ROUND(96*(LOG(I13)-INT(LOG(I13))),0)&lt;0,ROUND(96*(LOG(I13)-INT(LOG(I13))),0)-1,ROUND(96*(LOG(I13)-INT(LOG(I13))),0))+1)/96))*POWER(10,INT(LOG(I13))-2))/2,INT(0.5+100*POWER(10,(IF(96*(LOG(I13)-INT(LOG(I13)))-ROUND(96*(LOG(I13)-INT(LOG(I13))),0)&lt;0,ROUND(96*(LOG(I13)-INT(LOG(I13))),0)-1,ROUND(96*(LOG(I13)-INT(LOG(I13))),0))+1)/96))*POWER(10,INT(LOG(I13))-2),INT(0.5+100*POWER(10,IF(96*(LOG(I13)-INT(LOG(I13)))-ROUND(96*(LOG(I13)-INT(LOG(I13))),0)&lt;0,ROUND(96*(LOG(I13)-INT(LOG(I13))),0)-1,ROUND(96*(LOG(I13)-INT(LOG(I13))),0))/96))*POWER(10,INT(LOG(I13))-2)))</f>
        <v>#NAME?</v>
      </c>
      <c r="K13" s="18" t="s">
        <v>162</v>
      </c>
    </row>
    <row r="14" spans="1:11" x14ac:dyDescent="0.2">
      <c r="A14">
        <v>2.2000000000000002</v>
      </c>
      <c r="B14">
        <f t="shared" ref="B14:E14" si="7">IF(IF((B$3*10^12-$A15)*(B$3*10^12-$A14)*-1&lt;0,0,1)*IF(ABS(B$3*10^12-$A15)&gt;(B$3*10^12-$A14),$A14,$A15)=B15,0,IF((B$3*10^12-$A15)*(B$3*10^12-$A14)*-1&lt;0,0,1)*IF(ABS(B$3*10^12-$A15)&gt;(B$3*10^12-$A14),$A14,$A15))</f>
        <v>0</v>
      </c>
      <c r="C14">
        <f t="shared" si="7"/>
        <v>0</v>
      </c>
      <c r="D14">
        <f t="shared" si="7"/>
        <v>0</v>
      </c>
      <c r="E14">
        <f t="shared" si="7"/>
        <v>0</v>
      </c>
      <c r="H14" s="78" t="s">
        <v>161</v>
      </c>
      <c r="I14" t="e">
        <f>Cslope_ideal</f>
        <v>#NAME?</v>
      </c>
      <c r="J14" t="e">
        <f>#REF!*1000000000000</f>
        <v>#REF!</v>
      </c>
      <c r="K14" s="78" t="s">
        <v>15</v>
      </c>
    </row>
    <row r="15" spans="1:11" x14ac:dyDescent="0.2">
      <c r="A15">
        <v>2.7</v>
      </c>
      <c r="B15">
        <f t="shared" si="3"/>
        <v>0</v>
      </c>
      <c r="C15">
        <f t="shared" si="4"/>
        <v>0</v>
      </c>
      <c r="D15">
        <f t="shared" si="5"/>
        <v>0</v>
      </c>
      <c r="E15">
        <f t="shared" si="6"/>
        <v>0</v>
      </c>
    </row>
    <row r="16" spans="1:11" x14ac:dyDescent="0.2">
      <c r="A16">
        <v>3.3</v>
      </c>
      <c r="B16">
        <f t="shared" si="3"/>
        <v>0</v>
      </c>
      <c r="C16">
        <f t="shared" si="4"/>
        <v>0</v>
      </c>
      <c r="D16">
        <f t="shared" si="5"/>
        <v>0</v>
      </c>
      <c r="E16">
        <f t="shared" si="6"/>
        <v>0</v>
      </c>
      <c r="H16" s="78" t="s">
        <v>130</v>
      </c>
      <c r="I16">
        <f>Ruvlo1</f>
        <v>169.99999999999991</v>
      </c>
      <c r="J16" s="4">
        <f>IF(I16="OPEN","OPEN",IF(I16&gt;(INT(0.5+100*POWER(10,IF(96*(LOG(I16)-INT(LOG(I16)))-ROUND(96*(LOG(I16)-INT(LOG(I16))),0)&lt;0,ROUND(96*(LOG(I16)-INT(LOG(I16))),0)-1,ROUND(96*(LOG(I16)-INT(LOG(I16))),0))/96))*POWER(10,INT(LOG(I16))-2)+INT(0.5+100*POWER(10,(IF(96*(LOG(I16)-INT(LOG(I16)))-ROUND(96*(LOG(I16)-INT(LOG(I16))),0)&lt;0,ROUND(96*(LOG(I16)-INT(LOG(I16))),0)-1,ROUND(96*(LOG(I16)-INT(LOG(I16))),0))+1)/96))*POWER(10,INT(LOG(I16))-2))/2,INT(0.5+100*POWER(10,(IF(96*(LOG(I16)-INT(LOG(I16)))-ROUND(96*(LOG(I16)-INT(LOG(I16))),0)&lt;0,ROUND(96*(LOG(I16)-INT(LOG(I16))),0)-1,ROUND(96*(LOG(I16)-INT(LOG(I16))),0))+1)/96))*POWER(10,INT(LOG(I16))-2),INT(0.5+100*POWER(10,IF(96*(LOG(I16)-INT(LOG(I16)))-ROUND(96*(LOG(I16)-INT(LOG(I16))),0)&lt;0,ROUND(96*(LOG(I16)-INT(LOG(I16))),0)-1,ROUND(96*(LOG(I16)-INT(LOG(I16))),0))/96))*POWER(10,INT(LOG(I16))-2)))</f>
        <v>169</v>
      </c>
      <c r="K16" s="18" t="s">
        <v>113</v>
      </c>
    </row>
    <row r="17" spans="1:11" x14ac:dyDescent="0.2">
      <c r="A17">
        <v>3.9</v>
      </c>
      <c r="B17">
        <f t="shared" si="3"/>
        <v>0</v>
      </c>
      <c r="C17">
        <f t="shared" si="4"/>
        <v>0</v>
      </c>
      <c r="D17">
        <f t="shared" si="5"/>
        <v>0</v>
      </c>
      <c r="E17">
        <f t="shared" si="6"/>
        <v>0</v>
      </c>
      <c r="H17" s="78" t="s">
        <v>131</v>
      </c>
      <c r="I17" s="179">
        <f>Ruvlo2</f>
        <v>84.5</v>
      </c>
      <c r="J17" s="4">
        <f>IF(I17="OPEN","OPEN",IF(I17&gt;(INT(0.5+100*POWER(10,IF(96*(LOG(I17)-INT(LOG(I17)))-ROUND(96*(LOG(I17)-INT(LOG(I17))),0)&lt;0,ROUND(96*(LOG(I17)-INT(LOG(I17))),0)-1,ROUND(96*(LOG(I17)-INT(LOG(I17))),0))/96))*POWER(10,INT(LOG(I17))-2)+INT(0.5+100*POWER(10,(IF(96*(LOG(I17)-INT(LOG(I17)))-ROUND(96*(LOG(I17)-INT(LOG(I17))),0)&lt;0,ROUND(96*(LOG(I17)-INT(LOG(I17))),0)-1,ROUND(96*(LOG(I17)-INT(LOG(I17))),0))+1)/96))*POWER(10,INT(LOG(I17))-2))/2,INT(0.5+100*POWER(10,(IF(96*(LOG(I17)-INT(LOG(I17)))-ROUND(96*(LOG(I17)-INT(LOG(I17))),0)&lt;0,ROUND(96*(LOG(I17)-INT(LOG(I17))),0)-1,ROUND(96*(LOG(I17)-INT(LOG(I17))),0))+1)/96))*POWER(10,INT(LOG(I17))-2),INT(0.5+100*POWER(10,IF(96*(LOG(I17)-INT(LOG(I17)))-ROUND(96*(LOG(I17)-INT(LOG(I17))),0)&lt;0,ROUND(96*(LOG(I17)-INT(LOG(I17))),0)-1,ROUND(96*(LOG(I17)-INT(LOG(I17))),0))/96))*POWER(10,INT(LOG(I17))-2)))</f>
        <v>84.5</v>
      </c>
      <c r="K17" s="18" t="s">
        <v>113</v>
      </c>
    </row>
    <row r="18" spans="1:11" x14ac:dyDescent="0.2">
      <c r="A18">
        <v>4.7</v>
      </c>
      <c r="B18">
        <f t="shared" si="3"/>
        <v>0</v>
      </c>
      <c r="C18">
        <f t="shared" si="4"/>
        <v>0</v>
      </c>
      <c r="D18">
        <f t="shared" si="5"/>
        <v>0</v>
      </c>
      <c r="E18">
        <f t="shared" si="6"/>
        <v>0</v>
      </c>
      <c r="H18" s="78" t="s">
        <v>297</v>
      </c>
      <c r="I18" s="179" t="e">
        <f>Rhys</f>
        <v>#NAME?</v>
      </c>
      <c r="J18" s="4" t="e">
        <f>IF(I18="OPEN","OPEN",IF(I18&gt;(INT(0.5+100*POWER(10,IF(96*(LOG(I18)-INT(LOG(I18)))-ROUND(96*(LOG(I18)-INT(LOG(I18))),0)&lt;0,ROUND(96*(LOG(I18)-INT(LOG(I18))),0)-1,ROUND(96*(LOG(I18)-INT(LOG(I18))),0))/96))*POWER(10,INT(LOG(I18))-2)+INT(0.5+100*POWER(10,(IF(96*(LOG(I18)-INT(LOG(I18)))-ROUND(96*(LOG(I18)-INT(LOG(I18))),0)&lt;0,ROUND(96*(LOG(I18)-INT(LOG(I18))),0)-1,ROUND(96*(LOG(I18)-INT(LOG(I18))),0))+1)/96))*POWER(10,INT(LOG(I18))-2))/2,INT(0.5+100*POWER(10,(IF(96*(LOG(I18)-INT(LOG(I18)))-ROUND(96*(LOG(I18)-INT(LOG(I18))),0)&lt;0,ROUND(96*(LOG(I18)-INT(LOG(I18))),0)-1,ROUND(96*(LOG(I18)-INT(LOG(I18))),0))+1)/96))*POWER(10,INT(LOG(I18))-2),INT(0.5+100*POWER(10,IF(96*(LOG(I18)-INT(LOG(I18)))-ROUND(96*(LOG(I18)-INT(LOG(I18))),0)&lt;0,ROUND(96*(LOG(I18)-INT(LOG(I18))),0)-1,ROUND(96*(LOG(I18)-INT(LOG(I18))),0))/96))*POWER(10,INT(LOG(I18))-2)))</f>
        <v>#NAME?</v>
      </c>
      <c r="K18" s="18" t="s">
        <v>113</v>
      </c>
    </row>
    <row r="19" spans="1:11" x14ac:dyDescent="0.2">
      <c r="A19">
        <v>5.6</v>
      </c>
      <c r="B19">
        <f t="shared" si="3"/>
        <v>0</v>
      </c>
      <c r="C19">
        <f t="shared" si="4"/>
        <v>0</v>
      </c>
      <c r="D19">
        <f t="shared" si="5"/>
        <v>0</v>
      </c>
      <c r="E19">
        <f t="shared" si="6"/>
        <v>0</v>
      </c>
    </row>
    <row r="20" spans="1:11" x14ac:dyDescent="0.2">
      <c r="A20">
        <v>6.8</v>
      </c>
      <c r="B20">
        <f t="shared" si="3"/>
        <v>0</v>
      </c>
      <c r="C20">
        <f t="shared" si="4"/>
        <v>0</v>
      </c>
      <c r="D20">
        <f t="shared" si="5"/>
        <v>0</v>
      </c>
      <c r="E20">
        <f t="shared" si="6"/>
        <v>0</v>
      </c>
      <c r="H20" s="78"/>
      <c r="J20" s="4"/>
    </row>
    <row r="21" spans="1:11" x14ac:dyDescent="0.2">
      <c r="A21">
        <v>8.1999999999999993</v>
      </c>
      <c r="B21">
        <f t="shared" si="3"/>
        <v>0</v>
      </c>
      <c r="C21">
        <f t="shared" si="4"/>
        <v>0</v>
      </c>
      <c r="D21">
        <f t="shared" si="5"/>
        <v>0</v>
      </c>
      <c r="E21">
        <f t="shared" si="6"/>
        <v>0</v>
      </c>
      <c r="J21" s="4"/>
    </row>
    <row r="22" spans="1:11" x14ac:dyDescent="0.2">
      <c r="A22">
        <v>10</v>
      </c>
      <c r="B22">
        <f t="shared" si="3"/>
        <v>0</v>
      </c>
      <c r="C22">
        <f t="shared" si="4"/>
        <v>0</v>
      </c>
      <c r="D22">
        <f t="shared" si="5"/>
        <v>0</v>
      </c>
      <c r="E22">
        <f t="shared" si="6"/>
        <v>0</v>
      </c>
      <c r="H22" s="78"/>
      <c r="J22" s="4"/>
      <c r="K22" s="18"/>
    </row>
    <row r="23" spans="1:11" x14ac:dyDescent="0.2">
      <c r="A23">
        <v>12</v>
      </c>
      <c r="B23">
        <f t="shared" si="3"/>
        <v>0</v>
      </c>
      <c r="C23">
        <f t="shared" si="4"/>
        <v>0</v>
      </c>
      <c r="D23">
        <f t="shared" si="5"/>
        <v>0</v>
      </c>
      <c r="E23">
        <f t="shared" si="6"/>
        <v>0</v>
      </c>
    </row>
    <row r="24" spans="1:11" x14ac:dyDescent="0.2">
      <c r="A24">
        <v>15</v>
      </c>
      <c r="B24">
        <f t="shared" si="3"/>
        <v>0</v>
      </c>
      <c r="C24">
        <f t="shared" si="4"/>
        <v>0</v>
      </c>
      <c r="D24">
        <f t="shared" si="5"/>
        <v>0</v>
      </c>
      <c r="E24">
        <f t="shared" si="6"/>
        <v>0</v>
      </c>
      <c r="J24" s="4"/>
    </row>
    <row r="25" spans="1:11" x14ac:dyDescent="0.2">
      <c r="A25">
        <v>18</v>
      </c>
      <c r="B25">
        <f t="shared" si="3"/>
        <v>0</v>
      </c>
      <c r="C25">
        <f t="shared" si="4"/>
        <v>0</v>
      </c>
      <c r="D25">
        <f t="shared" si="5"/>
        <v>0</v>
      </c>
      <c r="E25">
        <f t="shared" si="6"/>
        <v>0</v>
      </c>
      <c r="H25" s="78"/>
      <c r="J25" s="4"/>
      <c r="K25" s="18"/>
    </row>
    <row r="26" spans="1:11" x14ac:dyDescent="0.2">
      <c r="A26">
        <v>22</v>
      </c>
      <c r="B26">
        <f t="shared" si="3"/>
        <v>0</v>
      </c>
      <c r="C26">
        <f t="shared" si="4"/>
        <v>0</v>
      </c>
      <c r="D26">
        <f t="shared" si="5"/>
        <v>0</v>
      </c>
      <c r="E26">
        <f t="shared" si="6"/>
        <v>0</v>
      </c>
    </row>
    <row r="27" spans="1:11" x14ac:dyDescent="0.2">
      <c r="A27">
        <v>27</v>
      </c>
      <c r="B27">
        <f t="shared" si="3"/>
        <v>0</v>
      </c>
      <c r="C27">
        <f t="shared" si="4"/>
        <v>0</v>
      </c>
      <c r="D27">
        <f t="shared" si="5"/>
        <v>0</v>
      </c>
      <c r="E27">
        <f t="shared" si="6"/>
        <v>0</v>
      </c>
    </row>
    <row r="28" spans="1:11" x14ac:dyDescent="0.2">
      <c r="A28">
        <v>33</v>
      </c>
      <c r="B28">
        <f t="shared" si="3"/>
        <v>0</v>
      </c>
      <c r="C28">
        <f t="shared" si="4"/>
        <v>0</v>
      </c>
      <c r="D28">
        <f t="shared" si="5"/>
        <v>0</v>
      </c>
      <c r="E28">
        <f t="shared" si="6"/>
        <v>0</v>
      </c>
      <c r="H28" s="5"/>
      <c r="K28" s="18"/>
    </row>
    <row r="29" spans="1:11" x14ac:dyDescent="0.2">
      <c r="A29">
        <v>39</v>
      </c>
      <c r="B29">
        <f t="shared" si="3"/>
        <v>0</v>
      </c>
      <c r="C29">
        <f t="shared" si="4"/>
        <v>0</v>
      </c>
      <c r="D29">
        <f t="shared" si="5"/>
        <v>0</v>
      </c>
      <c r="E29">
        <f t="shared" si="6"/>
        <v>0</v>
      </c>
      <c r="H29" s="5"/>
      <c r="K29" s="78"/>
    </row>
    <row r="30" spans="1:11" x14ac:dyDescent="0.2">
      <c r="A30">
        <v>47</v>
      </c>
      <c r="B30">
        <f t="shared" si="3"/>
        <v>0</v>
      </c>
      <c r="C30">
        <f t="shared" si="4"/>
        <v>0</v>
      </c>
      <c r="D30">
        <f t="shared" si="5"/>
        <v>0</v>
      </c>
      <c r="E30">
        <f t="shared" si="6"/>
        <v>0</v>
      </c>
      <c r="H30" s="5"/>
      <c r="K30" s="78"/>
    </row>
    <row r="31" spans="1:11" x14ac:dyDescent="0.2">
      <c r="A31">
        <v>56</v>
      </c>
      <c r="B31">
        <f t="shared" si="3"/>
        <v>0</v>
      </c>
      <c r="C31">
        <f t="shared" si="4"/>
        <v>0</v>
      </c>
      <c r="D31">
        <f t="shared" si="5"/>
        <v>0</v>
      </c>
      <c r="E31">
        <f t="shared" si="6"/>
        <v>0</v>
      </c>
      <c r="H31" s="5"/>
      <c r="K31" s="18"/>
    </row>
    <row r="32" spans="1:11" x14ac:dyDescent="0.2">
      <c r="A32">
        <v>68</v>
      </c>
      <c r="B32">
        <f t="shared" si="3"/>
        <v>0</v>
      </c>
      <c r="C32">
        <f t="shared" si="4"/>
        <v>0</v>
      </c>
      <c r="D32">
        <f t="shared" si="5"/>
        <v>0</v>
      </c>
      <c r="E32">
        <f t="shared" si="6"/>
        <v>0</v>
      </c>
      <c r="H32" s="5"/>
      <c r="K32" s="78"/>
    </row>
    <row r="33" spans="1:8" x14ac:dyDescent="0.2">
      <c r="A33">
        <v>82</v>
      </c>
      <c r="B33">
        <f t="shared" si="3"/>
        <v>0</v>
      </c>
      <c r="C33">
        <f t="shared" si="4"/>
        <v>0</v>
      </c>
      <c r="D33">
        <f t="shared" si="5"/>
        <v>0</v>
      </c>
      <c r="E33">
        <f t="shared" si="6"/>
        <v>0</v>
      </c>
    </row>
    <row r="34" spans="1:8" x14ac:dyDescent="0.2">
      <c r="A34">
        <f>A22*10</f>
        <v>100</v>
      </c>
      <c r="B34">
        <f t="shared" si="3"/>
        <v>0</v>
      </c>
      <c r="C34">
        <f t="shared" si="4"/>
        <v>0</v>
      </c>
      <c r="D34">
        <f t="shared" si="5"/>
        <v>0</v>
      </c>
      <c r="E34">
        <f t="shared" si="6"/>
        <v>0</v>
      </c>
      <c r="H34" s="78"/>
    </row>
    <row r="35" spans="1:8" x14ac:dyDescent="0.2">
      <c r="A35">
        <f t="shared" ref="A35:A98" si="8">A23*10</f>
        <v>120</v>
      </c>
      <c r="B35">
        <f t="shared" si="3"/>
        <v>0</v>
      </c>
      <c r="C35">
        <f t="shared" si="4"/>
        <v>0</v>
      </c>
      <c r="D35">
        <f t="shared" si="5"/>
        <v>0</v>
      </c>
      <c r="E35">
        <f t="shared" si="6"/>
        <v>0</v>
      </c>
      <c r="H35" s="78"/>
    </row>
    <row r="36" spans="1:8" x14ac:dyDescent="0.2">
      <c r="A36">
        <f t="shared" si="8"/>
        <v>150</v>
      </c>
      <c r="B36">
        <f t="shared" si="3"/>
        <v>0</v>
      </c>
      <c r="C36">
        <f t="shared" si="4"/>
        <v>0</v>
      </c>
      <c r="D36">
        <f t="shared" si="5"/>
        <v>0</v>
      </c>
      <c r="E36">
        <f t="shared" si="6"/>
        <v>0</v>
      </c>
    </row>
    <row r="37" spans="1:8" x14ac:dyDescent="0.2">
      <c r="A37">
        <f t="shared" si="8"/>
        <v>180</v>
      </c>
      <c r="B37">
        <f t="shared" si="3"/>
        <v>0</v>
      </c>
      <c r="C37">
        <f t="shared" si="4"/>
        <v>0</v>
      </c>
      <c r="D37">
        <f t="shared" si="5"/>
        <v>0</v>
      </c>
      <c r="E37">
        <f t="shared" si="6"/>
        <v>0</v>
      </c>
    </row>
    <row r="38" spans="1:8" x14ac:dyDescent="0.2">
      <c r="A38">
        <f t="shared" si="8"/>
        <v>220</v>
      </c>
      <c r="B38">
        <f t="shared" si="3"/>
        <v>0</v>
      </c>
      <c r="C38">
        <f t="shared" si="4"/>
        <v>0</v>
      </c>
      <c r="D38">
        <f t="shared" si="5"/>
        <v>0</v>
      </c>
      <c r="E38">
        <f t="shared" ref="E38:E69" si="9">IF(IF((E$3*10^12-$A39)*(E$3*10^12-$A38)*-1&lt;0,0,1)*IF(ABS(E$3*10^12-$A39)&gt;(E$3*10^12-$A38),$A38,$A39)=E39,0,IF((E$3*10^12-$A39)*(E$3*10^12-$A38)*-1&lt;0,0,1)*IF(ABS(E$3*10^12-$A39)&gt;(E$3*10^12-$A38),$A38,$A39))</f>
        <v>0</v>
      </c>
    </row>
    <row r="39" spans="1:8" x14ac:dyDescent="0.2">
      <c r="A39">
        <f t="shared" si="8"/>
        <v>270</v>
      </c>
      <c r="B39">
        <f t="shared" si="3"/>
        <v>0</v>
      </c>
      <c r="C39">
        <f t="shared" si="4"/>
        <v>0</v>
      </c>
      <c r="D39">
        <f t="shared" si="5"/>
        <v>0</v>
      </c>
      <c r="E39">
        <f t="shared" si="9"/>
        <v>0</v>
      </c>
    </row>
    <row r="40" spans="1:8" x14ac:dyDescent="0.2">
      <c r="A40">
        <f t="shared" si="8"/>
        <v>330</v>
      </c>
      <c r="B40">
        <f t="shared" si="3"/>
        <v>0</v>
      </c>
      <c r="C40">
        <f t="shared" si="4"/>
        <v>0</v>
      </c>
      <c r="D40">
        <f t="shared" si="5"/>
        <v>0</v>
      </c>
      <c r="E40">
        <f t="shared" si="9"/>
        <v>0</v>
      </c>
    </row>
    <row r="41" spans="1:8" x14ac:dyDescent="0.2">
      <c r="A41">
        <f t="shared" si="8"/>
        <v>390</v>
      </c>
      <c r="B41">
        <f t="shared" si="3"/>
        <v>0</v>
      </c>
      <c r="C41">
        <f t="shared" si="4"/>
        <v>0</v>
      </c>
      <c r="D41">
        <f t="shared" si="5"/>
        <v>0</v>
      </c>
      <c r="E41">
        <f t="shared" si="9"/>
        <v>0</v>
      </c>
    </row>
    <row r="42" spans="1:8" x14ac:dyDescent="0.2">
      <c r="A42">
        <f t="shared" si="8"/>
        <v>470</v>
      </c>
      <c r="B42">
        <f t="shared" si="3"/>
        <v>0</v>
      </c>
      <c r="C42">
        <f t="shared" si="4"/>
        <v>0</v>
      </c>
      <c r="D42">
        <f t="shared" si="5"/>
        <v>0</v>
      </c>
      <c r="E42">
        <f t="shared" si="9"/>
        <v>0</v>
      </c>
    </row>
    <row r="43" spans="1:8" x14ac:dyDescent="0.2">
      <c r="A43">
        <f t="shared" si="8"/>
        <v>560</v>
      </c>
      <c r="B43">
        <f t="shared" si="3"/>
        <v>0</v>
      </c>
      <c r="C43">
        <f t="shared" si="4"/>
        <v>0</v>
      </c>
      <c r="D43">
        <f t="shared" si="5"/>
        <v>0</v>
      </c>
      <c r="E43">
        <f t="shared" si="9"/>
        <v>0</v>
      </c>
    </row>
    <row r="44" spans="1:8" x14ac:dyDescent="0.2">
      <c r="A44">
        <f t="shared" si="8"/>
        <v>680</v>
      </c>
      <c r="B44">
        <f t="shared" si="3"/>
        <v>0</v>
      </c>
      <c r="C44">
        <f t="shared" si="4"/>
        <v>0</v>
      </c>
      <c r="D44">
        <f t="shared" si="5"/>
        <v>0</v>
      </c>
      <c r="E44">
        <f t="shared" si="9"/>
        <v>0</v>
      </c>
    </row>
    <row r="45" spans="1:8" x14ac:dyDescent="0.2">
      <c r="A45">
        <f>A33*10</f>
        <v>820</v>
      </c>
      <c r="B45">
        <f t="shared" si="3"/>
        <v>0</v>
      </c>
      <c r="C45">
        <f t="shared" si="4"/>
        <v>0</v>
      </c>
      <c r="D45">
        <f t="shared" si="5"/>
        <v>0</v>
      </c>
      <c r="E45">
        <f t="shared" si="9"/>
        <v>0</v>
      </c>
    </row>
    <row r="46" spans="1:8" x14ac:dyDescent="0.2">
      <c r="A46">
        <f t="shared" si="8"/>
        <v>1000</v>
      </c>
      <c r="B46">
        <f t="shared" si="3"/>
        <v>0</v>
      </c>
      <c r="C46">
        <f t="shared" si="4"/>
        <v>0</v>
      </c>
      <c r="D46">
        <f t="shared" si="5"/>
        <v>0</v>
      </c>
      <c r="E46">
        <f t="shared" si="9"/>
        <v>0</v>
      </c>
    </row>
    <row r="47" spans="1:8" x14ac:dyDescent="0.2">
      <c r="A47">
        <f t="shared" si="8"/>
        <v>1200</v>
      </c>
      <c r="B47">
        <f t="shared" si="3"/>
        <v>0</v>
      </c>
      <c r="C47">
        <f t="shared" si="4"/>
        <v>0</v>
      </c>
      <c r="D47">
        <f t="shared" si="5"/>
        <v>0</v>
      </c>
      <c r="E47">
        <f t="shared" si="9"/>
        <v>0</v>
      </c>
    </row>
    <row r="48" spans="1:8" x14ac:dyDescent="0.2">
      <c r="A48">
        <f t="shared" si="8"/>
        <v>1500</v>
      </c>
      <c r="B48">
        <f t="shared" si="3"/>
        <v>0</v>
      </c>
      <c r="C48">
        <f t="shared" si="4"/>
        <v>0</v>
      </c>
      <c r="D48">
        <f t="shared" si="5"/>
        <v>0</v>
      </c>
      <c r="E48">
        <f t="shared" si="9"/>
        <v>0</v>
      </c>
    </row>
    <row r="49" spans="1:5" x14ac:dyDescent="0.2">
      <c r="A49">
        <f t="shared" si="8"/>
        <v>1800</v>
      </c>
      <c r="B49">
        <f t="shared" si="3"/>
        <v>0</v>
      </c>
      <c r="C49">
        <f t="shared" si="4"/>
        <v>0</v>
      </c>
      <c r="D49">
        <f t="shared" si="5"/>
        <v>0</v>
      </c>
      <c r="E49">
        <f t="shared" si="9"/>
        <v>0</v>
      </c>
    </row>
    <row r="50" spans="1:5" x14ac:dyDescent="0.2">
      <c r="A50">
        <f t="shared" si="8"/>
        <v>2200</v>
      </c>
      <c r="B50">
        <f t="shared" si="3"/>
        <v>0</v>
      </c>
      <c r="C50">
        <f t="shared" si="4"/>
        <v>0</v>
      </c>
      <c r="D50">
        <f t="shared" si="5"/>
        <v>0</v>
      </c>
      <c r="E50">
        <f t="shared" si="9"/>
        <v>0</v>
      </c>
    </row>
    <row r="51" spans="1:5" x14ac:dyDescent="0.2">
      <c r="A51">
        <f t="shared" si="8"/>
        <v>2700</v>
      </c>
      <c r="B51">
        <f t="shared" si="3"/>
        <v>0</v>
      </c>
      <c r="C51">
        <f t="shared" si="4"/>
        <v>0</v>
      </c>
      <c r="D51">
        <f t="shared" si="5"/>
        <v>0</v>
      </c>
      <c r="E51">
        <f t="shared" si="9"/>
        <v>0</v>
      </c>
    </row>
    <row r="52" spans="1:5" x14ac:dyDescent="0.2">
      <c r="A52">
        <f t="shared" si="8"/>
        <v>3300</v>
      </c>
      <c r="B52">
        <f t="shared" si="3"/>
        <v>0</v>
      </c>
      <c r="C52">
        <f t="shared" si="4"/>
        <v>0</v>
      </c>
      <c r="D52">
        <f t="shared" si="5"/>
        <v>0</v>
      </c>
      <c r="E52">
        <f t="shared" si="9"/>
        <v>0</v>
      </c>
    </row>
    <row r="53" spans="1:5" x14ac:dyDescent="0.2">
      <c r="A53">
        <f t="shared" si="8"/>
        <v>3900</v>
      </c>
      <c r="B53">
        <f t="shared" si="3"/>
        <v>0</v>
      </c>
      <c r="C53">
        <f t="shared" si="4"/>
        <v>0</v>
      </c>
      <c r="D53">
        <f t="shared" si="5"/>
        <v>0</v>
      </c>
      <c r="E53">
        <f t="shared" si="9"/>
        <v>0</v>
      </c>
    </row>
    <row r="54" spans="1:5" x14ac:dyDescent="0.2">
      <c r="A54">
        <f t="shared" si="8"/>
        <v>4700</v>
      </c>
      <c r="B54">
        <f t="shared" si="3"/>
        <v>0</v>
      </c>
      <c r="C54">
        <f t="shared" si="4"/>
        <v>0</v>
      </c>
      <c r="D54">
        <f t="shared" si="5"/>
        <v>0</v>
      </c>
      <c r="E54">
        <f t="shared" si="9"/>
        <v>0</v>
      </c>
    </row>
    <row r="55" spans="1:5" x14ac:dyDescent="0.2">
      <c r="A55">
        <f t="shared" si="8"/>
        <v>5600</v>
      </c>
      <c r="B55">
        <f t="shared" si="3"/>
        <v>0</v>
      </c>
      <c r="C55">
        <f t="shared" si="4"/>
        <v>0</v>
      </c>
      <c r="D55">
        <f t="shared" si="5"/>
        <v>0</v>
      </c>
      <c r="E55">
        <f t="shared" si="9"/>
        <v>0</v>
      </c>
    </row>
    <row r="56" spans="1:5" x14ac:dyDescent="0.2">
      <c r="A56">
        <f t="shared" si="8"/>
        <v>6800</v>
      </c>
      <c r="B56">
        <f t="shared" si="3"/>
        <v>0</v>
      </c>
      <c r="C56">
        <f t="shared" si="4"/>
        <v>0</v>
      </c>
      <c r="D56">
        <f t="shared" si="5"/>
        <v>0</v>
      </c>
      <c r="E56">
        <f t="shared" si="9"/>
        <v>0</v>
      </c>
    </row>
    <row r="57" spans="1:5" x14ac:dyDescent="0.2">
      <c r="A57">
        <f t="shared" si="8"/>
        <v>8200</v>
      </c>
      <c r="B57">
        <f t="shared" si="3"/>
        <v>0</v>
      </c>
      <c r="C57">
        <f t="shared" si="4"/>
        <v>0</v>
      </c>
      <c r="D57">
        <f t="shared" si="5"/>
        <v>0</v>
      </c>
      <c r="E57">
        <f t="shared" si="9"/>
        <v>0</v>
      </c>
    </row>
    <row r="58" spans="1:5" x14ac:dyDescent="0.2">
      <c r="A58">
        <f t="shared" si="8"/>
        <v>10000</v>
      </c>
      <c r="B58">
        <f t="shared" si="3"/>
        <v>0</v>
      </c>
      <c r="C58">
        <f t="shared" si="4"/>
        <v>0</v>
      </c>
      <c r="D58">
        <f t="shared" si="5"/>
        <v>0</v>
      </c>
      <c r="E58">
        <f t="shared" si="9"/>
        <v>0</v>
      </c>
    </row>
    <row r="59" spans="1:5" x14ac:dyDescent="0.2">
      <c r="A59">
        <f t="shared" si="8"/>
        <v>12000</v>
      </c>
      <c r="B59">
        <f t="shared" si="3"/>
        <v>0</v>
      </c>
      <c r="C59">
        <f t="shared" si="4"/>
        <v>0</v>
      </c>
      <c r="D59">
        <f t="shared" si="5"/>
        <v>0</v>
      </c>
      <c r="E59">
        <f t="shared" si="9"/>
        <v>0</v>
      </c>
    </row>
    <row r="60" spans="1:5" x14ac:dyDescent="0.2">
      <c r="A60">
        <f t="shared" si="8"/>
        <v>15000</v>
      </c>
      <c r="B60">
        <f t="shared" si="3"/>
        <v>0</v>
      </c>
      <c r="C60">
        <f t="shared" si="4"/>
        <v>0</v>
      </c>
      <c r="D60">
        <f t="shared" si="5"/>
        <v>0</v>
      </c>
      <c r="E60">
        <f t="shared" si="9"/>
        <v>0</v>
      </c>
    </row>
    <row r="61" spans="1:5" x14ac:dyDescent="0.2">
      <c r="A61">
        <f t="shared" si="8"/>
        <v>18000</v>
      </c>
      <c r="B61">
        <f t="shared" si="3"/>
        <v>0</v>
      </c>
      <c r="C61">
        <f t="shared" si="4"/>
        <v>0</v>
      </c>
      <c r="D61">
        <f t="shared" si="5"/>
        <v>0</v>
      </c>
      <c r="E61">
        <f t="shared" si="9"/>
        <v>0</v>
      </c>
    </row>
    <row r="62" spans="1:5" x14ac:dyDescent="0.2">
      <c r="A62">
        <f t="shared" si="8"/>
        <v>22000</v>
      </c>
      <c r="B62">
        <f t="shared" si="3"/>
        <v>0</v>
      </c>
      <c r="C62">
        <f t="shared" si="4"/>
        <v>0</v>
      </c>
      <c r="D62">
        <f t="shared" si="5"/>
        <v>0</v>
      </c>
      <c r="E62">
        <f t="shared" si="9"/>
        <v>0</v>
      </c>
    </row>
    <row r="63" spans="1:5" x14ac:dyDescent="0.2">
      <c r="A63">
        <f t="shared" si="8"/>
        <v>27000</v>
      </c>
      <c r="B63">
        <f t="shared" si="3"/>
        <v>0</v>
      </c>
      <c r="C63">
        <f t="shared" si="4"/>
        <v>0</v>
      </c>
      <c r="D63">
        <f t="shared" si="5"/>
        <v>0</v>
      </c>
      <c r="E63">
        <f t="shared" si="9"/>
        <v>0</v>
      </c>
    </row>
    <row r="64" spans="1:5" x14ac:dyDescent="0.2">
      <c r="A64">
        <f t="shared" si="8"/>
        <v>33000</v>
      </c>
      <c r="B64">
        <f t="shared" si="3"/>
        <v>0</v>
      </c>
      <c r="C64">
        <f t="shared" si="4"/>
        <v>0</v>
      </c>
      <c r="D64">
        <f t="shared" si="5"/>
        <v>0</v>
      </c>
      <c r="E64">
        <f t="shared" si="9"/>
        <v>0</v>
      </c>
    </row>
    <row r="65" spans="1:5" x14ac:dyDescent="0.2">
      <c r="A65">
        <f t="shared" si="8"/>
        <v>39000</v>
      </c>
      <c r="B65">
        <f t="shared" si="3"/>
        <v>39000</v>
      </c>
      <c r="C65">
        <f t="shared" si="4"/>
        <v>0</v>
      </c>
      <c r="D65">
        <f t="shared" si="5"/>
        <v>0</v>
      </c>
      <c r="E65">
        <f t="shared" si="9"/>
        <v>0</v>
      </c>
    </row>
    <row r="66" spans="1:5" x14ac:dyDescent="0.2">
      <c r="A66">
        <f t="shared" si="8"/>
        <v>47000</v>
      </c>
      <c r="B66">
        <f t="shared" si="3"/>
        <v>0</v>
      </c>
      <c r="C66">
        <f t="shared" si="4"/>
        <v>0</v>
      </c>
      <c r="D66">
        <f t="shared" si="5"/>
        <v>0</v>
      </c>
      <c r="E66">
        <f t="shared" si="9"/>
        <v>0</v>
      </c>
    </row>
    <row r="67" spans="1:5" x14ac:dyDescent="0.2">
      <c r="A67">
        <f t="shared" si="8"/>
        <v>56000</v>
      </c>
      <c r="B67">
        <f t="shared" si="3"/>
        <v>0</v>
      </c>
      <c r="C67">
        <f t="shared" si="4"/>
        <v>0</v>
      </c>
      <c r="D67">
        <f t="shared" si="5"/>
        <v>0</v>
      </c>
      <c r="E67">
        <f t="shared" si="9"/>
        <v>0</v>
      </c>
    </row>
    <row r="68" spans="1:5" x14ac:dyDescent="0.2">
      <c r="A68">
        <f t="shared" si="8"/>
        <v>68000</v>
      </c>
      <c r="B68">
        <f t="shared" si="3"/>
        <v>0</v>
      </c>
      <c r="C68">
        <f t="shared" si="4"/>
        <v>0</v>
      </c>
      <c r="D68">
        <f t="shared" si="5"/>
        <v>0</v>
      </c>
      <c r="E68">
        <f t="shared" si="9"/>
        <v>0</v>
      </c>
    </row>
    <row r="69" spans="1:5" x14ac:dyDescent="0.2">
      <c r="A69">
        <f t="shared" si="8"/>
        <v>82000</v>
      </c>
      <c r="B69">
        <f t="shared" si="3"/>
        <v>0</v>
      </c>
      <c r="C69">
        <f t="shared" si="4"/>
        <v>0</v>
      </c>
      <c r="D69">
        <f t="shared" si="5"/>
        <v>0</v>
      </c>
      <c r="E69">
        <f t="shared" si="9"/>
        <v>0</v>
      </c>
    </row>
    <row r="70" spans="1:5" x14ac:dyDescent="0.2">
      <c r="A70">
        <f t="shared" si="8"/>
        <v>100000</v>
      </c>
      <c r="B70">
        <f t="shared" si="3"/>
        <v>0</v>
      </c>
      <c r="C70">
        <f t="shared" ref="C70:D70" si="10">IF(IF((C$3*10^12-$A71)*(C$3*10^12-$A70)*-1&lt;0,0,1)*IF(ABS(C$3*10^12-$A71)&gt;(C$3*10^12-$A70),$A70,$A71)=C71,0,IF((C$3*10^12-$A71)*(C$3*10^12-$A70)*-1&lt;0,0,1)*IF(ABS(C$3*10^12-$A71)&gt;(C$3*10^12-$A70),$A70,$A71))</f>
        <v>0</v>
      </c>
      <c r="D70">
        <f t="shared" si="10"/>
        <v>0</v>
      </c>
      <c r="E70">
        <f t="shared" ref="E70:E101" si="11">IF(IF((E$3*10^12-$A71)*(E$3*10^12-$A70)*-1&lt;0,0,1)*IF(ABS(E$3*10^12-$A71)&gt;(E$3*10^12-$A70),$A70,$A71)=E71,0,IF((E$3*10^12-$A71)*(E$3*10^12-$A70)*-1&lt;0,0,1)*IF(ABS(E$3*10^12-$A71)&gt;(E$3*10^12-$A70),$A70,$A71))</f>
        <v>0</v>
      </c>
    </row>
    <row r="71" spans="1:5" x14ac:dyDescent="0.2">
      <c r="A71">
        <f t="shared" si="8"/>
        <v>120000</v>
      </c>
      <c r="B71">
        <f t="shared" ref="B71:B134" si="12">IF(IF((B$3*10^12-$A72)*(B$3*10^12-$A71)*-1&lt;0,0,1)*IF(ABS(B$3*10^12-$A72)&gt;(B$3*10^12-$A71),$A71,$A72)=B72,0,IF((B$3*10^12-$A72)*(B$3*10^12-$A71)*-1&lt;0,0,1)*IF(ABS(B$3*10^12-$A72)&gt;(B$3*10^12-$A71),$A71,$A72))</f>
        <v>0</v>
      </c>
      <c r="C71">
        <f t="shared" ref="C71:C133" si="13">IF(IF((C$3*10^12-$A72)*(C$3*10^12-$A71)*-1&lt;0,0,1)*IF(ABS(C$3*10^12-$A72)&gt;(C$3*10^12-$A71),$A71,$A72)=C72,0,IF((C$3*10^12-$A72)*(C$3*10^12-$A71)*-1&lt;0,0,1)*IF(ABS(C$3*10^12-$A72)&gt;(C$3*10^12-$A71),$A71,$A72))</f>
        <v>0</v>
      </c>
      <c r="D71">
        <f t="shared" ref="D71:D102" si="14">IF(IF((D$3*10^12-$A72)*(D$3*10^12-$A71)*-1&lt;0,0,1)*IF(ABS(D$3*10^12-$A72)&gt;(D$3*10^12-$A71),$A71,$A72)=D72,0,IF((D$3*10^12-$A72)*(D$3*10^12-$A71)*-1&lt;0,0,1)*IF(ABS(D$3*10^12-$A72)&gt;(D$3*10^12-$A71),$A71,$A72))</f>
        <v>0</v>
      </c>
      <c r="E71">
        <f t="shared" si="11"/>
        <v>0</v>
      </c>
    </row>
    <row r="72" spans="1:5" x14ac:dyDescent="0.2">
      <c r="A72">
        <f t="shared" si="8"/>
        <v>150000</v>
      </c>
      <c r="B72">
        <f t="shared" si="12"/>
        <v>0</v>
      </c>
      <c r="C72">
        <f t="shared" si="13"/>
        <v>0</v>
      </c>
      <c r="D72">
        <f t="shared" si="14"/>
        <v>0</v>
      </c>
      <c r="E72">
        <f t="shared" si="11"/>
        <v>0</v>
      </c>
    </row>
    <row r="73" spans="1:5" x14ac:dyDescent="0.2">
      <c r="A73">
        <f t="shared" si="8"/>
        <v>180000</v>
      </c>
      <c r="B73">
        <f t="shared" si="12"/>
        <v>0</v>
      </c>
      <c r="C73">
        <f t="shared" si="13"/>
        <v>0</v>
      </c>
      <c r="D73">
        <f t="shared" si="14"/>
        <v>0</v>
      </c>
      <c r="E73">
        <f t="shared" si="11"/>
        <v>0</v>
      </c>
    </row>
    <row r="74" spans="1:5" x14ac:dyDescent="0.2">
      <c r="A74">
        <f t="shared" si="8"/>
        <v>220000</v>
      </c>
      <c r="B74">
        <f t="shared" si="12"/>
        <v>0</v>
      </c>
      <c r="C74">
        <f t="shared" si="13"/>
        <v>0</v>
      </c>
      <c r="D74">
        <f t="shared" si="14"/>
        <v>0</v>
      </c>
      <c r="E74">
        <f t="shared" si="11"/>
        <v>0</v>
      </c>
    </row>
    <row r="75" spans="1:5" x14ac:dyDescent="0.2">
      <c r="A75">
        <f t="shared" si="8"/>
        <v>270000</v>
      </c>
      <c r="B75">
        <f t="shared" si="12"/>
        <v>0</v>
      </c>
      <c r="C75">
        <f t="shared" si="13"/>
        <v>0</v>
      </c>
      <c r="D75">
        <f t="shared" si="14"/>
        <v>0</v>
      </c>
      <c r="E75">
        <f t="shared" si="11"/>
        <v>0</v>
      </c>
    </row>
    <row r="76" spans="1:5" x14ac:dyDescent="0.2">
      <c r="A76">
        <f t="shared" si="8"/>
        <v>330000</v>
      </c>
      <c r="B76">
        <f t="shared" si="12"/>
        <v>0</v>
      </c>
      <c r="C76">
        <f t="shared" si="13"/>
        <v>0</v>
      </c>
      <c r="D76">
        <f t="shared" si="14"/>
        <v>0</v>
      </c>
      <c r="E76">
        <f t="shared" si="11"/>
        <v>0</v>
      </c>
    </row>
    <row r="77" spans="1:5" x14ac:dyDescent="0.2">
      <c r="A77">
        <f t="shared" si="8"/>
        <v>390000</v>
      </c>
      <c r="B77">
        <f t="shared" si="12"/>
        <v>0</v>
      </c>
      <c r="C77">
        <f t="shared" si="13"/>
        <v>0</v>
      </c>
      <c r="D77">
        <f t="shared" si="14"/>
        <v>0</v>
      </c>
      <c r="E77">
        <f t="shared" si="11"/>
        <v>0</v>
      </c>
    </row>
    <row r="78" spans="1:5" x14ac:dyDescent="0.2">
      <c r="A78">
        <f t="shared" si="8"/>
        <v>470000</v>
      </c>
      <c r="B78">
        <f t="shared" si="12"/>
        <v>0</v>
      </c>
      <c r="C78">
        <f t="shared" si="13"/>
        <v>0</v>
      </c>
      <c r="D78">
        <f t="shared" si="14"/>
        <v>0</v>
      </c>
      <c r="E78">
        <f t="shared" si="11"/>
        <v>0</v>
      </c>
    </row>
    <row r="79" spans="1:5" x14ac:dyDescent="0.2">
      <c r="A79">
        <f t="shared" si="8"/>
        <v>560000</v>
      </c>
      <c r="B79">
        <f t="shared" si="12"/>
        <v>0</v>
      </c>
      <c r="C79">
        <f t="shared" si="13"/>
        <v>0</v>
      </c>
      <c r="D79">
        <f t="shared" si="14"/>
        <v>0</v>
      </c>
      <c r="E79">
        <f t="shared" si="11"/>
        <v>0</v>
      </c>
    </row>
    <row r="80" spans="1:5" x14ac:dyDescent="0.2">
      <c r="A80">
        <f t="shared" si="8"/>
        <v>680000</v>
      </c>
      <c r="B80">
        <f t="shared" si="12"/>
        <v>0</v>
      </c>
      <c r="C80">
        <f t="shared" si="13"/>
        <v>0</v>
      </c>
      <c r="D80">
        <f t="shared" si="14"/>
        <v>0</v>
      </c>
      <c r="E80">
        <f t="shared" si="11"/>
        <v>0</v>
      </c>
    </row>
    <row r="81" spans="1:5" x14ac:dyDescent="0.2">
      <c r="A81">
        <f t="shared" si="8"/>
        <v>820000</v>
      </c>
      <c r="B81">
        <f t="shared" si="12"/>
        <v>0</v>
      </c>
      <c r="C81">
        <f t="shared" si="13"/>
        <v>0</v>
      </c>
      <c r="D81">
        <f t="shared" si="14"/>
        <v>0</v>
      </c>
      <c r="E81">
        <f t="shared" si="11"/>
        <v>0</v>
      </c>
    </row>
    <row r="82" spans="1:5" x14ac:dyDescent="0.2">
      <c r="A82">
        <f t="shared" si="8"/>
        <v>1000000</v>
      </c>
      <c r="B82">
        <f t="shared" si="12"/>
        <v>0</v>
      </c>
      <c r="C82">
        <f t="shared" si="13"/>
        <v>0</v>
      </c>
      <c r="D82">
        <f t="shared" si="14"/>
        <v>0</v>
      </c>
      <c r="E82">
        <f t="shared" si="11"/>
        <v>0</v>
      </c>
    </row>
    <row r="83" spans="1:5" x14ac:dyDescent="0.2">
      <c r="A83">
        <f t="shared" si="8"/>
        <v>1200000</v>
      </c>
      <c r="B83">
        <f t="shared" si="12"/>
        <v>0</v>
      </c>
      <c r="C83">
        <f t="shared" si="13"/>
        <v>0</v>
      </c>
      <c r="D83">
        <f t="shared" si="14"/>
        <v>0</v>
      </c>
      <c r="E83">
        <f t="shared" si="11"/>
        <v>0</v>
      </c>
    </row>
    <row r="84" spans="1:5" x14ac:dyDescent="0.2">
      <c r="A84">
        <f t="shared" si="8"/>
        <v>1500000</v>
      </c>
      <c r="B84">
        <f t="shared" si="12"/>
        <v>0</v>
      </c>
      <c r="C84">
        <f t="shared" si="13"/>
        <v>0</v>
      </c>
      <c r="D84">
        <f t="shared" si="14"/>
        <v>0</v>
      </c>
      <c r="E84">
        <f t="shared" si="11"/>
        <v>0</v>
      </c>
    </row>
    <row r="85" spans="1:5" x14ac:dyDescent="0.2">
      <c r="A85">
        <f t="shared" si="8"/>
        <v>1800000</v>
      </c>
      <c r="B85">
        <f t="shared" si="12"/>
        <v>0</v>
      </c>
      <c r="C85">
        <f t="shared" si="13"/>
        <v>0</v>
      </c>
      <c r="D85">
        <f t="shared" si="14"/>
        <v>0</v>
      </c>
      <c r="E85">
        <f t="shared" si="11"/>
        <v>0</v>
      </c>
    </row>
    <row r="86" spans="1:5" x14ac:dyDescent="0.2">
      <c r="A86">
        <f t="shared" si="8"/>
        <v>2200000</v>
      </c>
      <c r="B86">
        <f t="shared" si="12"/>
        <v>0</v>
      </c>
      <c r="C86">
        <f t="shared" si="13"/>
        <v>0</v>
      </c>
      <c r="D86">
        <f t="shared" si="14"/>
        <v>0</v>
      </c>
      <c r="E86">
        <f t="shared" si="11"/>
        <v>0</v>
      </c>
    </row>
    <row r="87" spans="1:5" x14ac:dyDescent="0.2">
      <c r="A87">
        <f t="shared" si="8"/>
        <v>2700000</v>
      </c>
      <c r="B87">
        <f t="shared" si="12"/>
        <v>0</v>
      </c>
      <c r="C87">
        <f t="shared" si="13"/>
        <v>0</v>
      </c>
      <c r="D87">
        <f t="shared" si="14"/>
        <v>0</v>
      </c>
      <c r="E87">
        <f t="shared" si="11"/>
        <v>0</v>
      </c>
    </row>
    <row r="88" spans="1:5" x14ac:dyDescent="0.2">
      <c r="A88">
        <f t="shared" si="8"/>
        <v>3300000</v>
      </c>
      <c r="B88">
        <f t="shared" si="12"/>
        <v>0</v>
      </c>
      <c r="C88">
        <f t="shared" si="13"/>
        <v>0</v>
      </c>
      <c r="D88">
        <f t="shared" si="14"/>
        <v>0</v>
      </c>
      <c r="E88">
        <f t="shared" si="11"/>
        <v>0</v>
      </c>
    </row>
    <row r="89" spans="1:5" x14ac:dyDescent="0.2">
      <c r="A89">
        <f t="shared" si="8"/>
        <v>3900000</v>
      </c>
      <c r="B89">
        <f t="shared" si="12"/>
        <v>0</v>
      </c>
      <c r="C89">
        <f t="shared" si="13"/>
        <v>0</v>
      </c>
      <c r="D89">
        <f t="shared" si="14"/>
        <v>0</v>
      </c>
      <c r="E89">
        <f t="shared" si="11"/>
        <v>0</v>
      </c>
    </row>
    <row r="90" spans="1:5" x14ac:dyDescent="0.2">
      <c r="A90">
        <f t="shared" si="8"/>
        <v>4700000</v>
      </c>
      <c r="B90">
        <f t="shared" si="12"/>
        <v>0</v>
      </c>
      <c r="C90">
        <f t="shared" si="13"/>
        <v>0</v>
      </c>
      <c r="D90">
        <f t="shared" si="14"/>
        <v>0</v>
      </c>
      <c r="E90">
        <f t="shared" si="11"/>
        <v>0</v>
      </c>
    </row>
    <row r="91" spans="1:5" x14ac:dyDescent="0.2">
      <c r="A91">
        <f t="shared" si="8"/>
        <v>5600000</v>
      </c>
      <c r="B91">
        <f t="shared" si="12"/>
        <v>0</v>
      </c>
      <c r="C91">
        <f t="shared" si="13"/>
        <v>0</v>
      </c>
      <c r="D91">
        <f t="shared" si="14"/>
        <v>0</v>
      </c>
      <c r="E91">
        <f t="shared" si="11"/>
        <v>0</v>
      </c>
    </row>
    <row r="92" spans="1:5" x14ac:dyDescent="0.2">
      <c r="A92">
        <f t="shared" si="8"/>
        <v>6800000</v>
      </c>
      <c r="B92">
        <f t="shared" si="12"/>
        <v>0</v>
      </c>
      <c r="C92">
        <f t="shared" si="13"/>
        <v>0</v>
      </c>
      <c r="D92">
        <f t="shared" si="14"/>
        <v>0</v>
      </c>
      <c r="E92">
        <f t="shared" si="11"/>
        <v>0</v>
      </c>
    </row>
    <row r="93" spans="1:5" x14ac:dyDescent="0.2">
      <c r="A93">
        <f t="shared" si="8"/>
        <v>8200000</v>
      </c>
      <c r="B93">
        <f t="shared" si="12"/>
        <v>0</v>
      </c>
      <c r="C93">
        <f t="shared" si="13"/>
        <v>0</v>
      </c>
      <c r="D93">
        <f t="shared" si="14"/>
        <v>0</v>
      </c>
      <c r="E93">
        <f t="shared" si="11"/>
        <v>0</v>
      </c>
    </row>
    <row r="94" spans="1:5" x14ac:dyDescent="0.2">
      <c r="A94">
        <f t="shared" si="8"/>
        <v>10000000</v>
      </c>
      <c r="B94">
        <f t="shared" si="12"/>
        <v>0</v>
      </c>
      <c r="C94">
        <f t="shared" si="13"/>
        <v>0</v>
      </c>
      <c r="D94">
        <f t="shared" si="14"/>
        <v>0</v>
      </c>
      <c r="E94">
        <f t="shared" si="11"/>
        <v>0</v>
      </c>
    </row>
    <row r="95" spans="1:5" x14ac:dyDescent="0.2">
      <c r="A95">
        <f t="shared" si="8"/>
        <v>12000000</v>
      </c>
      <c r="B95">
        <f t="shared" si="12"/>
        <v>0</v>
      </c>
      <c r="C95">
        <f t="shared" si="13"/>
        <v>0</v>
      </c>
      <c r="D95">
        <f t="shared" si="14"/>
        <v>0</v>
      </c>
      <c r="E95">
        <f t="shared" si="11"/>
        <v>0</v>
      </c>
    </row>
    <row r="96" spans="1:5" x14ac:dyDescent="0.2">
      <c r="A96">
        <f t="shared" si="8"/>
        <v>15000000</v>
      </c>
      <c r="B96">
        <f t="shared" si="12"/>
        <v>0</v>
      </c>
      <c r="C96">
        <f t="shared" si="13"/>
        <v>0</v>
      </c>
      <c r="D96">
        <f t="shared" si="14"/>
        <v>0</v>
      </c>
      <c r="E96">
        <f t="shared" si="11"/>
        <v>0</v>
      </c>
    </row>
    <row r="97" spans="1:5" x14ac:dyDescent="0.2">
      <c r="A97">
        <f t="shared" si="8"/>
        <v>18000000</v>
      </c>
      <c r="B97">
        <f t="shared" si="12"/>
        <v>0</v>
      </c>
      <c r="C97">
        <f t="shared" si="13"/>
        <v>0</v>
      </c>
      <c r="D97">
        <f t="shared" si="14"/>
        <v>0</v>
      </c>
      <c r="E97">
        <f t="shared" si="11"/>
        <v>0</v>
      </c>
    </row>
    <row r="98" spans="1:5" x14ac:dyDescent="0.2">
      <c r="A98">
        <f t="shared" si="8"/>
        <v>22000000</v>
      </c>
      <c r="B98">
        <f t="shared" si="12"/>
        <v>0</v>
      </c>
      <c r="C98">
        <f t="shared" si="13"/>
        <v>0</v>
      </c>
      <c r="D98">
        <f t="shared" si="14"/>
        <v>0</v>
      </c>
      <c r="E98">
        <f t="shared" si="11"/>
        <v>0</v>
      </c>
    </row>
    <row r="99" spans="1:5" x14ac:dyDescent="0.2">
      <c r="A99">
        <f t="shared" ref="A99:A159" si="15">A87*10</f>
        <v>27000000</v>
      </c>
      <c r="B99">
        <f t="shared" si="12"/>
        <v>0</v>
      </c>
      <c r="C99">
        <f t="shared" si="13"/>
        <v>0</v>
      </c>
      <c r="D99">
        <f t="shared" si="14"/>
        <v>0</v>
      </c>
      <c r="E99">
        <f t="shared" si="11"/>
        <v>0</v>
      </c>
    </row>
    <row r="100" spans="1:5" x14ac:dyDescent="0.2">
      <c r="A100">
        <f t="shared" si="15"/>
        <v>33000000</v>
      </c>
      <c r="B100">
        <f t="shared" si="12"/>
        <v>0</v>
      </c>
      <c r="C100">
        <f t="shared" si="13"/>
        <v>0</v>
      </c>
      <c r="D100">
        <f t="shared" si="14"/>
        <v>0</v>
      </c>
      <c r="E100">
        <f t="shared" si="11"/>
        <v>0</v>
      </c>
    </row>
    <row r="101" spans="1:5" x14ac:dyDescent="0.2">
      <c r="A101">
        <f t="shared" si="15"/>
        <v>39000000</v>
      </c>
      <c r="B101">
        <f t="shared" si="12"/>
        <v>0</v>
      </c>
      <c r="C101">
        <f t="shared" si="13"/>
        <v>0</v>
      </c>
      <c r="D101">
        <f t="shared" si="14"/>
        <v>0</v>
      </c>
      <c r="E101">
        <f t="shared" si="11"/>
        <v>0</v>
      </c>
    </row>
    <row r="102" spans="1:5" x14ac:dyDescent="0.2">
      <c r="A102">
        <f t="shared" si="15"/>
        <v>47000000</v>
      </c>
      <c r="B102">
        <f t="shared" si="12"/>
        <v>0</v>
      </c>
      <c r="C102">
        <f t="shared" si="13"/>
        <v>0</v>
      </c>
      <c r="D102">
        <f t="shared" si="14"/>
        <v>0</v>
      </c>
      <c r="E102">
        <f t="shared" ref="E102:E133" si="16">IF(IF((E$3*10^12-$A103)*(E$3*10^12-$A102)*-1&lt;0,0,1)*IF(ABS(E$3*10^12-$A103)&gt;(E$3*10^12-$A102),$A102,$A103)=E103,0,IF((E$3*10^12-$A103)*(E$3*10^12-$A102)*-1&lt;0,0,1)*IF(ABS(E$3*10^12-$A103)&gt;(E$3*10^12-$A102),$A102,$A103))</f>
        <v>0</v>
      </c>
    </row>
    <row r="103" spans="1:5" x14ac:dyDescent="0.2">
      <c r="A103">
        <f t="shared" si="15"/>
        <v>56000000</v>
      </c>
      <c r="B103">
        <f t="shared" si="12"/>
        <v>0</v>
      </c>
      <c r="C103">
        <f t="shared" si="13"/>
        <v>0</v>
      </c>
      <c r="D103">
        <f t="shared" ref="D103:D134" si="17">IF(IF((D$3*10^12-$A104)*(D$3*10^12-$A103)*-1&lt;0,0,1)*IF(ABS(D$3*10^12-$A104)&gt;(D$3*10^12-$A103),$A103,$A104)=D104,0,IF((D$3*10^12-$A104)*(D$3*10^12-$A103)*-1&lt;0,0,1)*IF(ABS(D$3*10^12-$A104)&gt;(D$3*10^12-$A103),$A103,$A104))</f>
        <v>0</v>
      </c>
      <c r="E103">
        <f t="shared" si="16"/>
        <v>0</v>
      </c>
    </row>
    <row r="104" spans="1:5" x14ac:dyDescent="0.2">
      <c r="A104">
        <f t="shared" si="15"/>
        <v>68000000</v>
      </c>
      <c r="B104">
        <f t="shared" si="12"/>
        <v>0</v>
      </c>
      <c r="C104">
        <f t="shared" si="13"/>
        <v>0</v>
      </c>
      <c r="D104">
        <f t="shared" si="17"/>
        <v>0</v>
      </c>
      <c r="E104">
        <f t="shared" si="16"/>
        <v>0</v>
      </c>
    </row>
    <row r="105" spans="1:5" x14ac:dyDescent="0.2">
      <c r="A105">
        <f t="shared" si="15"/>
        <v>82000000</v>
      </c>
      <c r="B105">
        <f t="shared" si="12"/>
        <v>0</v>
      </c>
      <c r="C105">
        <f t="shared" si="13"/>
        <v>0</v>
      </c>
      <c r="D105">
        <f t="shared" si="17"/>
        <v>0</v>
      </c>
      <c r="E105">
        <f t="shared" si="16"/>
        <v>0</v>
      </c>
    </row>
    <row r="106" spans="1:5" x14ac:dyDescent="0.2">
      <c r="A106">
        <f t="shared" si="15"/>
        <v>100000000</v>
      </c>
      <c r="B106">
        <f t="shared" si="12"/>
        <v>0</v>
      </c>
      <c r="C106">
        <f t="shared" si="13"/>
        <v>0</v>
      </c>
      <c r="D106">
        <f t="shared" si="17"/>
        <v>0</v>
      </c>
      <c r="E106">
        <f t="shared" si="16"/>
        <v>0</v>
      </c>
    </row>
    <row r="107" spans="1:5" x14ac:dyDescent="0.2">
      <c r="A107">
        <f t="shared" si="15"/>
        <v>120000000</v>
      </c>
      <c r="B107">
        <f t="shared" si="12"/>
        <v>0</v>
      </c>
      <c r="C107">
        <f t="shared" si="13"/>
        <v>0</v>
      </c>
      <c r="D107">
        <f t="shared" si="17"/>
        <v>0</v>
      </c>
      <c r="E107">
        <f t="shared" si="16"/>
        <v>0</v>
      </c>
    </row>
    <row r="108" spans="1:5" x14ac:dyDescent="0.2">
      <c r="A108">
        <f t="shared" si="15"/>
        <v>150000000</v>
      </c>
      <c r="B108">
        <f t="shared" si="12"/>
        <v>0</v>
      </c>
      <c r="C108">
        <f t="shared" si="13"/>
        <v>0</v>
      </c>
      <c r="D108">
        <f t="shared" si="17"/>
        <v>0</v>
      </c>
      <c r="E108">
        <f t="shared" si="16"/>
        <v>0</v>
      </c>
    </row>
    <row r="109" spans="1:5" x14ac:dyDescent="0.2">
      <c r="A109">
        <f t="shared" si="15"/>
        <v>180000000</v>
      </c>
      <c r="B109">
        <f t="shared" si="12"/>
        <v>0</v>
      </c>
      <c r="C109">
        <f t="shared" si="13"/>
        <v>0</v>
      </c>
      <c r="D109">
        <f t="shared" si="17"/>
        <v>0</v>
      </c>
      <c r="E109">
        <f t="shared" si="16"/>
        <v>0</v>
      </c>
    </row>
    <row r="110" spans="1:5" x14ac:dyDescent="0.2">
      <c r="A110">
        <f t="shared" si="15"/>
        <v>220000000</v>
      </c>
      <c r="B110">
        <f t="shared" si="12"/>
        <v>0</v>
      </c>
      <c r="C110">
        <f t="shared" si="13"/>
        <v>0</v>
      </c>
      <c r="D110">
        <f t="shared" si="17"/>
        <v>0</v>
      </c>
      <c r="E110">
        <f t="shared" si="16"/>
        <v>0</v>
      </c>
    </row>
    <row r="111" spans="1:5" x14ac:dyDescent="0.2">
      <c r="A111">
        <f t="shared" si="15"/>
        <v>270000000</v>
      </c>
      <c r="B111">
        <f t="shared" si="12"/>
        <v>0</v>
      </c>
      <c r="C111">
        <f t="shared" si="13"/>
        <v>0</v>
      </c>
      <c r="D111">
        <f t="shared" si="17"/>
        <v>0</v>
      </c>
      <c r="E111">
        <f t="shared" si="16"/>
        <v>0</v>
      </c>
    </row>
    <row r="112" spans="1:5" x14ac:dyDescent="0.2">
      <c r="A112">
        <f t="shared" si="15"/>
        <v>330000000</v>
      </c>
      <c r="B112">
        <f t="shared" si="12"/>
        <v>0</v>
      </c>
      <c r="C112">
        <f t="shared" si="13"/>
        <v>0</v>
      </c>
      <c r="D112">
        <f t="shared" si="17"/>
        <v>0</v>
      </c>
      <c r="E112">
        <f t="shared" si="16"/>
        <v>0</v>
      </c>
    </row>
    <row r="113" spans="1:5" x14ac:dyDescent="0.2">
      <c r="A113">
        <f t="shared" si="15"/>
        <v>390000000</v>
      </c>
      <c r="B113">
        <f t="shared" si="12"/>
        <v>0</v>
      </c>
      <c r="C113">
        <f t="shared" si="13"/>
        <v>0</v>
      </c>
      <c r="D113">
        <f t="shared" si="17"/>
        <v>0</v>
      </c>
      <c r="E113">
        <f t="shared" si="16"/>
        <v>0</v>
      </c>
    </row>
    <row r="114" spans="1:5" x14ac:dyDescent="0.2">
      <c r="A114">
        <f t="shared" si="15"/>
        <v>470000000</v>
      </c>
      <c r="B114">
        <f t="shared" si="12"/>
        <v>0</v>
      </c>
      <c r="C114">
        <f t="shared" si="13"/>
        <v>0</v>
      </c>
      <c r="D114">
        <f t="shared" si="17"/>
        <v>0</v>
      </c>
      <c r="E114">
        <f t="shared" si="16"/>
        <v>0</v>
      </c>
    </row>
    <row r="115" spans="1:5" x14ac:dyDescent="0.2">
      <c r="A115">
        <f t="shared" si="15"/>
        <v>560000000</v>
      </c>
      <c r="B115">
        <f t="shared" si="12"/>
        <v>0</v>
      </c>
      <c r="C115">
        <f t="shared" si="13"/>
        <v>0</v>
      </c>
      <c r="D115">
        <f t="shared" si="17"/>
        <v>0</v>
      </c>
      <c r="E115">
        <f t="shared" si="16"/>
        <v>0</v>
      </c>
    </row>
    <row r="116" spans="1:5" x14ac:dyDescent="0.2">
      <c r="A116">
        <f t="shared" si="15"/>
        <v>680000000</v>
      </c>
      <c r="B116">
        <f t="shared" si="12"/>
        <v>0</v>
      </c>
      <c r="C116">
        <f t="shared" si="13"/>
        <v>0</v>
      </c>
      <c r="D116">
        <f t="shared" si="17"/>
        <v>0</v>
      </c>
      <c r="E116">
        <f t="shared" si="16"/>
        <v>0</v>
      </c>
    </row>
    <row r="117" spans="1:5" x14ac:dyDescent="0.2">
      <c r="A117">
        <f t="shared" si="15"/>
        <v>820000000</v>
      </c>
      <c r="B117">
        <f t="shared" si="12"/>
        <v>0</v>
      </c>
      <c r="C117">
        <f t="shared" si="13"/>
        <v>0</v>
      </c>
      <c r="D117">
        <f t="shared" si="17"/>
        <v>0</v>
      </c>
      <c r="E117">
        <f t="shared" si="16"/>
        <v>0</v>
      </c>
    </row>
    <row r="118" spans="1:5" x14ac:dyDescent="0.2">
      <c r="A118">
        <f t="shared" si="15"/>
        <v>1000000000</v>
      </c>
      <c r="B118">
        <f t="shared" si="12"/>
        <v>0</v>
      </c>
      <c r="C118">
        <f t="shared" si="13"/>
        <v>0</v>
      </c>
      <c r="D118">
        <f t="shared" si="17"/>
        <v>0</v>
      </c>
      <c r="E118">
        <f t="shared" si="16"/>
        <v>0</v>
      </c>
    </row>
    <row r="119" spans="1:5" x14ac:dyDescent="0.2">
      <c r="A119">
        <f t="shared" si="15"/>
        <v>1200000000</v>
      </c>
      <c r="B119">
        <f t="shared" si="12"/>
        <v>0</v>
      </c>
      <c r="C119">
        <f t="shared" si="13"/>
        <v>0</v>
      </c>
      <c r="D119">
        <f t="shared" si="17"/>
        <v>0</v>
      </c>
      <c r="E119">
        <f t="shared" si="16"/>
        <v>0</v>
      </c>
    </row>
    <row r="120" spans="1:5" x14ac:dyDescent="0.2">
      <c r="A120">
        <f t="shared" si="15"/>
        <v>1500000000</v>
      </c>
      <c r="B120">
        <f t="shared" si="12"/>
        <v>0</v>
      </c>
      <c r="C120">
        <f t="shared" si="13"/>
        <v>0</v>
      </c>
      <c r="D120">
        <f t="shared" si="17"/>
        <v>0</v>
      </c>
      <c r="E120">
        <f t="shared" si="16"/>
        <v>0</v>
      </c>
    </row>
    <row r="121" spans="1:5" x14ac:dyDescent="0.2">
      <c r="A121">
        <f t="shared" si="15"/>
        <v>1800000000</v>
      </c>
      <c r="B121">
        <f t="shared" si="12"/>
        <v>0</v>
      </c>
      <c r="C121">
        <f t="shared" si="13"/>
        <v>0</v>
      </c>
      <c r="D121">
        <f t="shared" si="17"/>
        <v>0</v>
      </c>
      <c r="E121">
        <f t="shared" si="16"/>
        <v>0</v>
      </c>
    </row>
    <row r="122" spans="1:5" x14ac:dyDescent="0.2">
      <c r="A122">
        <f t="shared" si="15"/>
        <v>2200000000</v>
      </c>
      <c r="B122">
        <f t="shared" si="12"/>
        <v>0</v>
      </c>
      <c r="C122">
        <f t="shared" si="13"/>
        <v>0</v>
      </c>
      <c r="D122">
        <f t="shared" si="17"/>
        <v>0</v>
      </c>
      <c r="E122">
        <f t="shared" si="16"/>
        <v>0</v>
      </c>
    </row>
    <row r="123" spans="1:5" x14ac:dyDescent="0.2">
      <c r="A123">
        <f t="shared" si="15"/>
        <v>2700000000</v>
      </c>
      <c r="B123">
        <f t="shared" si="12"/>
        <v>0</v>
      </c>
      <c r="C123">
        <f t="shared" si="13"/>
        <v>0</v>
      </c>
      <c r="D123">
        <f t="shared" si="17"/>
        <v>0</v>
      </c>
      <c r="E123">
        <f t="shared" si="16"/>
        <v>0</v>
      </c>
    </row>
    <row r="124" spans="1:5" x14ac:dyDescent="0.2">
      <c r="A124">
        <f t="shared" si="15"/>
        <v>3300000000</v>
      </c>
      <c r="B124">
        <f t="shared" si="12"/>
        <v>0</v>
      </c>
      <c r="C124">
        <f t="shared" si="13"/>
        <v>0</v>
      </c>
      <c r="D124">
        <f t="shared" si="17"/>
        <v>0</v>
      </c>
      <c r="E124">
        <f t="shared" si="16"/>
        <v>0</v>
      </c>
    </row>
    <row r="125" spans="1:5" x14ac:dyDescent="0.2">
      <c r="A125">
        <f t="shared" si="15"/>
        <v>3900000000</v>
      </c>
      <c r="B125">
        <f t="shared" si="12"/>
        <v>0</v>
      </c>
      <c r="C125">
        <f t="shared" si="13"/>
        <v>0</v>
      </c>
      <c r="D125">
        <f t="shared" si="17"/>
        <v>0</v>
      </c>
      <c r="E125">
        <f t="shared" si="16"/>
        <v>0</v>
      </c>
    </row>
    <row r="126" spans="1:5" x14ac:dyDescent="0.2">
      <c r="A126">
        <f t="shared" si="15"/>
        <v>4700000000</v>
      </c>
      <c r="B126">
        <f t="shared" si="12"/>
        <v>0</v>
      </c>
      <c r="C126">
        <f t="shared" si="13"/>
        <v>0</v>
      </c>
      <c r="D126">
        <f t="shared" si="17"/>
        <v>0</v>
      </c>
      <c r="E126">
        <f t="shared" si="16"/>
        <v>0</v>
      </c>
    </row>
    <row r="127" spans="1:5" x14ac:dyDescent="0.2">
      <c r="A127">
        <f t="shared" si="15"/>
        <v>5600000000</v>
      </c>
      <c r="B127">
        <f t="shared" si="12"/>
        <v>0</v>
      </c>
      <c r="C127">
        <f t="shared" si="13"/>
        <v>0</v>
      </c>
      <c r="D127">
        <f t="shared" si="17"/>
        <v>0</v>
      </c>
      <c r="E127">
        <f t="shared" si="16"/>
        <v>0</v>
      </c>
    </row>
    <row r="128" spans="1:5" x14ac:dyDescent="0.2">
      <c r="A128">
        <f t="shared" si="15"/>
        <v>6800000000</v>
      </c>
      <c r="B128">
        <f t="shared" si="12"/>
        <v>0</v>
      </c>
      <c r="C128">
        <f t="shared" si="13"/>
        <v>0</v>
      </c>
      <c r="D128">
        <f t="shared" si="17"/>
        <v>0</v>
      </c>
      <c r="E128">
        <f t="shared" si="16"/>
        <v>0</v>
      </c>
    </row>
    <row r="129" spans="1:5" x14ac:dyDescent="0.2">
      <c r="A129">
        <f t="shared" si="15"/>
        <v>8200000000</v>
      </c>
      <c r="B129">
        <f t="shared" si="12"/>
        <v>0</v>
      </c>
      <c r="C129">
        <f t="shared" si="13"/>
        <v>0</v>
      </c>
      <c r="D129">
        <f t="shared" si="17"/>
        <v>0</v>
      </c>
      <c r="E129">
        <f t="shared" si="16"/>
        <v>0</v>
      </c>
    </row>
    <row r="130" spans="1:5" x14ac:dyDescent="0.2">
      <c r="A130">
        <f t="shared" si="15"/>
        <v>10000000000</v>
      </c>
      <c r="B130">
        <f t="shared" si="12"/>
        <v>0</v>
      </c>
      <c r="C130">
        <f t="shared" si="13"/>
        <v>0</v>
      </c>
      <c r="D130">
        <f t="shared" si="17"/>
        <v>0</v>
      </c>
      <c r="E130">
        <f t="shared" si="16"/>
        <v>0</v>
      </c>
    </row>
    <row r="131" spans="1:5" x14ac:dyDescent="0.2">
      <c r="A131">
        <f t="shared" si="15"/>
        <v>12000000000</v>
      </c>
      <c r="B131">
        <f t="shared" si="12"/>
        <v>0</v>
      </c>
      <c r="C131">
        <f t="shared" si="13"/>
        <v>0</v>
      </c>
      <c r="D131">
        <f t="shared" si="17"/>
        <v>0</v>
      </c>
      <c r="E131">
        <f t="shared" si="16"/>
        <v>0</v>
      </c>
    </row>
    <row r="132" spans="1:5" x14ac:dyDescent="0.2">
      <c r="A132">
        <f t="shared" si="15"/>
        <v>15000000000</v>
      </c>
      <c r="B132">
        <f t="shared" si="12"/>
        <v>0</v>
      </c>
      <c r="C132">
        <f t="shared" si="13"/>
        <v>0</v>
      </c>
      <c r="D132">
        <f t="shared" si="17"/>
        <v>0</v>
      </c>
      <c r="E132">
        <f t="shared" si="16"/>
        <v>0</v>
      </c>
    </row>
    <row r="133" spans="1:5" x14ac:dyDescent="0.2">
      <c r="A133">
        <f t="shared" si="15"/>
        <v>18000000000</v>
      </c>
      <c r="B133">
        <f t="shared" si="12"/>
        <v>0</v>
      </c>
      <c r="C133">
        <f t="shared" si="13"/>
        <v>0</v>
      </c>
      <c r="D133">
        <f t="shared" si="17"/>
        <v>0</v>
      </c>
      <c r="E133">
        <f t="shared" si="16"/>
        <v>0</v>
      </c>
    </row>
    <row r="134" spans="1:5" x14ac:dyDescent="0.2">
      <c r="A134">
        <f t="shared" si="15"/>
        <v>22000000000</v>
      </c>
      <c r="B134">
        <f t="shared" si="12"/>
        <v>0</v>
      </c>
      <c r="C134">
        <f t="shared" ref="C134:D159" si="18">IF(IF((C$3*10^12-$A135)*(C$3*10^12-$A134)*-1&lt;0,0,1)*IF(ABS(C$3*10^12-$A135)&gt;(C$3*10^12-$A134),$A134,$A135)=C135,0,IF((C$3*10^12-$A135)*(C$3*10^12-$A134)*-1&lt;0,0,1)*IF(ABS(C$3*10^12-$A135)&gt;(C$3*10^12-$A134),$A134,$A135))</f>
        <v>0</v>
      </c>
      <c r="D134">
        <f t="shared" si="17"/>
        <v>0</v>
      </c>
      <c r="E134">
        <f t="shared" ref="E134:E159" si="19">IF(IF((E$3*10^12-$A135)*(E$3*10^12-$A134)*-1&lt;0,0,1)*IF(ABS(E$3*10^12-$A135)&gt;(E$3*10^12-$A134),$A134,$A135)=E135,0,IF((E$3*10^12-$A135)*(E$3*10^12-$A134)*-1&lt;0,0,1)*IF(ABS(E$3*10^12-$A135)&gt;(E$3*10^12-$A134),$A134,$A135))</f>
        <v>0</v>
      </c>
    </row>
    <row r="135" spans="1:5" x14ac:dyDescent="0.2">
      <c r="A135">
        <f t="shared" si="15"/>
        <v>27000000000</v>
      </c>
      <c r="B135">
        <f t="shared" ref="B135:B159" si="20">IF(IF((B$3*10^12-$A136)*(B$3*10^12-$A135)*-1&lt;0,0,1)*IF(ABS(B$3*10^12-$A136)&gt;(B$3*10^12-$A135),$A135,$A136)=B136,0,IF((B$3*10^12-$A136)*(B$3*10^12-$A135)*-1&lt;0,0,1)*IF(ABS(B$3*10^12-$A136)&gt;(B$3*10^12-$A135),$A135,$A136))</f>
        <v>0</v>
      </c>
      <c r="C135">
        <f t="shared" si="18"/>
        <v>0</v>
      </c>
      <c r="D135">
        <f t="shared" si="18"/>
        <v>0</v>
      </c>
      <c r="E135">
        <f t="shared" si="19"/>
        <v>0</v>
      </c>
    </row>
    <row r="136" spans="1:5" x14ac:dyDescent="0.2">
      <c r="A136">
        <f t="shared" si="15"/>
        <v>33000000000</v>
      </c>
      <c r="B136">
        <f t="shared" si="20"/>
        <v>0</v>
      </c>
      <c r="C136">
        <f t="shared" si="18"/>
        <v>0</v>
      </c>
      <c r="D136">
        <f t="shared" si="18"/>
        <v>0</v>
      </c>
      <c r="E136">
        <f t="shared" si="19"/>
        <v>0</v>
      </c>
    </row>
    <row r="137" spans="1:5" x14ac:dyDescent="0.2">
      <c r="A137">
        <f t="shared" si="15"/>
        <v>39000000000</v>
      </c>
      <c r="B137">
        <f t="shared" si="20"/>
        <v>0</v>
      </c>
      <c r="C137">
        <f t="shared" si="18"/>
        <v>0</v>
      </c>
      <c r="D137">
        <f t="shared" si="18"/>
        <v>0</v>
      </c>
      <c r="E137">
        <f t="shared" si="19"/>
        <v>0</v>
      </c>
    </row>
    <row r="138" spans="1:5" x14ac:dyDescent="0.2">
      <c r="A138">
        <f t="shared" si="15"/>
        <v>47000000000</v>
      </c>
      <c r="B138">
        <f t="shared" si="20"/>
        <v>0</v>
      </c>
      <c r="C138">
        <f t="shared" si="18"/>
        <v>0</v>
      </c>
      <c r="D138">
        <f t="shared" si="18"/>
        <v>0</v>
      </c>
      <c r="E138">
        <f t="shared" si="19"/>
        <v>0</v>
      </c>
    </row>
    <row r="139" spans="1:5" x14ac:dyDescent="0.2">
      <c r="A139">
        <f t="shared" si="15"/>
        <v>56000000000</v>
      </c>
      <c r="B139">
        <f t="shared" si="20"/>
        <v>0</v>
      </c>
      <c r="C139">
        <f t="shared" si="18"/>
        <v>0</v>
      </c>
      <c r="D139">
        <f t="shared" si="18"/>
        <v>0</v>
      </c>
      <c r="E139">
        <f t="shared" si="19"/>
        <v>0</v>
      </c>
    </row>
    <row r="140" spans="1:5" x14ac:dyDescent="0.2">
      <c r="A140">
        <f t="shared" si="15"/>
        <v>68000000000</v>
      </c>
      <c r="B140">
        <f t="shared" si="20"/>
        <v>0</v>
      </c>
      <c r="C140">
        <f t="shared" si="18"/>
        <v>0</v>
      </c>
      <c r="D140">
        <f t="shared" si="18"/>
        <v>0</v>
      </c>
      <c r="E140">
        <f t="shared" si="19"/>
        <v>0</v>
      </c>
    </row>
    <row r="141" spans="1:5" x14ac:dyDescent="0.2">
      <c r="A141">
        <f t="shared" si="15"/>
        <v>82000000000</v>
      </c>
      <c r="B141">
        <f t="shared" si="20"/>
        <v>0</v>
      </c>
      <c r="C141">
        <f t="shared" si="18"/>
        <v>0</v>
      </c>
      <c r="D141">
        <f t="shared" si="18"/>
        <v>0</v>
      </c>
      <c r="E141">
        <f t="shared" si="19"/>
        <v>0</v>
      </c>
    </row>
    <row r="142" spans="1:5" x14ac:dyDescent="0.2">
      <c r="A142">
        <f t="shared" si="15"/>
        <v>100000000000</v>
      </c>
      <c r="B142">
        <f t="shared" si="20"/>
        <v>0</v>
      </c>
      <c r="C142">
        <f t="shared" si="18"/>
        <v>0</v>
      </c>
      <c r="D142">
        <f t="shared" si="18"/>
        <v>0</v>
      </c>
      <c r="E142">
        <f t="shared" si="19"/>
        <v>0</v>
      </c>
    </row>
    <row r="143" spans="1:5" x14ac:dyDescent="0.2">
      <c r="A143">
        <f t="shared" si="15"/>
        <v>120000000000</v>
      </c>
      <c r="B143">
        <f t="shared" si="20"/>
        <v>0</v>
      </c>
      <c r="C143">
        <f t="shared" si="18"/>
        <v>0</v>
      </c>
      <c r="D143">
        <f t="shared" si="18"/>
        <v>0</v>
      </c>
      <c r="E143">
        <f t="shared" si="19"/>
        <v>0</v>
      </c>
    </row>
    <row r="144" spans="1:5" x14ac:dyDescent="0.2">
      <c r="A144">
        <f t="shared" si="15"/>
        <v>150000000000</v>
      </c>
      <c r="B144">
        <f t="shared" si="20"/>
        <v>0</v>
      </c>
      <c r="C144">
        <f t="shared" si="18"/>
        <v>0</v>
      </c>
      <c r="D144">
        <f t="shared" si="18"/>
        <v>0</v>
      </c>
      <c r="E144">
        <f t="shared" si="19"/>
        <v>0</v>
      </c>
    </row>
    <row r="145" spans="1:5" x14ac:dyDescent="0.2">
      <c r="A145">
        <f t="shared" si="15"/>
        <v>180000000000</v>
      </c>
      <c r="B145">
        <f t="shared" si="20"/>
        <v>0</v>
      </c>
      <c r="C145">
        <f t="shared" si="18"/>
        <v>0</v>
      </c>
      <c r="D145">
        <f t="shared" si="18"/>
        <v>0</v>
      </c>
      <c r="E145">
        <f t="shared" si="19"/>
        <v>0</v>
      </c>
    </row>
    <row r="146" spans="1:5" x14ac:dyDescent="0.2">
      <c r="A146">
        <f t="shared" si="15"/>
        <v>220000000000</v>
      </c>
      <c r="B146">
        <f t="shared" si="20"/>
        <v>0</v>
      </c>
      <c r="C146">
        <f t="shared" si="18"/>
        <v>0</v>
      </c>
      <c r="D146">
        <f t="shared" si="18"/>
        <v>0</v>
      </c>
      <c r="E146">
        <f t="shared" si="19"/>
        <v>0</v>
      </c>
    </row>
    <row r="147" spans="1:5" x14ac:dyDescent="0.2">
      <c r="A147">
        <f t="shared" si="15"/>
        <v>270000000000</v>
      </c>
      <c r="B147">
        <f t="shared" si="20"/>
        <v>0</v>
      </c>
      <c r="C147">
        <f t="shared" si="18"/>
        <v>0</v>
      </c>
      <c r="D147">
        <f t="shared" si="18"/>
        <v>0</v>
      </c>
      <c r="E147">
        <f t="shared" si="19"/>
        <v>0</v>
      </c>
    </row>
    <row r="148" spans="1:5" x14ac:dyDescent="0.2">
      <c r="A148">
        <f t="shared" si="15"/>
        <v>330000000000</v>
      </c>
      <c r="B148">
        <f t="shared" si="20"/>
        <v>0</v>
      </c>
      <c r="C148">
        <f t="shared" si="18"/>
        <v>0</v>
      </c>
      <c r="D148">
        <f t="shared" si="18"/>
        <v>0</v>
      </c>
      <c r="E148">
        <f t="shared" si="19"/>
        <v>0</v>
      </c>
    </row>
    <row r="149" spans="1:5" x14ac:dyDescent="0.2">
      <c r="A149">
        <f t="shared" si="15"/>
        <v>390000000000</v>
      </c>
      <c r="B149">
        <f t="shared" si="20"/>
        <v>0</v>
      </c>
      <c r="C149">
        <f t="shared" si="18"/>
        <v>0</v>
      </c>
      <c r="D149">
        <f t="shared" si="18"/>
        <v>0</v>
      </c>
      <c r="E149">
        <f t="shared" si="19"/>
        <v>0</v>
      </c>
    </row>
    <row r="150" spans="1:5" x14ac:dyDescent="0.2">
      <c r="A150">
        <f t="shared" si="15"/>
        <v>470000000000</v>
      </c>
      <c r="B150">
        <f t="shared" si="20"/>
        <v>0</v>
      </c>
      <c r="C150">
        <f t="shared" si="18"/>
        <v>0</v>
      </c>
      <c r="D150">
        <f t="shared" si="18"/>
        <v>0</v>
      </c>
      <c r="E150">
        <f t="shared" si="19"/>
        <v>0</v>
      </c>
    </row>
    <row r="151" spans="1:5" x14ac:dyDescent="0.2">
      <c r="A151">
        <f t="shared" si="15"/>
        <v>560000000000</v>
      </c>
      <c r="B151">
        <f t="shared" si="20"/>
        <v>0</v>
      </c>
      <c r="C151">
        <f t="shared" si="18"/>
        <v>0</v>
      </c>
      <c r="D151">
        <f t="shared" si="18"/>
        <v>0</v>
      </c>
      <c r="E151">
        <f t="shared" si="19"/>
        <v>0</v>
      </c>
    </row>
    <row r="152" spans="1:5" x14ac:dyDescent="0.2">
      <c r="A152">
        <f t="shared" si="15"/>
        <v>680000000000</v>
      </c>
      <c r="B152">
        <f t="shared" si="20"/>
        <v>0</v>
      </c>
      <c r="C152">
        <f t="shared" si="18"/>
        <v>0</v>
      </c>
      <c r="D152">
        <f t="shared" si="18"/>
        <v>0</v>
      </c>
      <c r="E152">
        <f t="shared" si="19"/>
        <v>0</v>
      </c>
    </row>
    <row r="153" spans="1:5" x14ac:dyDescent="0.2">
      <c r="A153">
        <f t="shared" si="15"/>
        <v>820000000000</v>
      </c>
      <c r="B153">
        <f t="shared" si="20"/>
        <v>0</v>
      </c>
      <c r="C153">
        <f t="shared" si="18"/>
        <v>0</v>
      </c>
      <c r="D153">
        <f t="shared" si="18"/>
        <v>0</v>
      </c>
      <c r="E153">
        <f t="shared" si="19"/>
        <v>0</v>
      </c>
    </row>
    <row r="154" spans="1:5" x14ac:dyDescent="0.2">
      <c r="A154">
        <f t="shared" si="15"/>
        <v>1000000000000</v>
      </c>
      <c r="B154">
        <f t="shared" si="20"/>
        <v>0</v>
      </c>
      <c r="C154">
        <f t="shared" si="18"/>
        <v>0</v>
      </c>
      <c r="D154">
        <f t="shared" si="18"/>
        <v>0</v>
      </c>
      <c r="E154">
        <f t="shared" si="19"/>
        <v>0</v>
      </c>
    </row>
    <row r="155" spans="1:5" x14ac:dyDescent="0.2">
      <c r="A155">
        <f t="shared" si="15"/>
        <v>1200000000000</v>
      </c>
      <c r="B155">
        <f t="shared" si="20"/>
        <v>0</v>
      </c>
      <c r="C155">
        <f t="shared" si="18"/>
        <v>0</v>
      </c>
      <c r="D155">
        <f t="shared" si="18"/>
        <v>0</v>
      </c>
      <c r="E155">
        <f t="shared" si="19"/>
        <v>0</v>
      </c>
    </row>
    <row r="156" spans="1:5" x14ac:dyDescent="0.2">
      <c r="A156">
        <f t="shared" si="15"/>
        <v>1500000000000</v>
      </c>
      <c r="B156">
        <f t="shared" si="20"/>
        <v>0</v>
      </c>
      <c r="C156">
        <f t="shared" si="18"/>
        <v>0</v>
      </c>
      <c r="D156">
        <f t="shared" si="18"/>
        <v>0</v>
      </c>
      <c r="E156">
        <f t="shared" si="19"/>
        <v>0</v>
      </c>
    </row>
    <row r="157" spans="1:5" x14ac:dyDescent="0.2">
      <c r="A157">
        <f t="shared" si="15"/>
        <v>1800000000000</v>
      </c>
      <c r="B157">
        <f t="shared" si="20"/>
        <v>0</v>
      </c>
      <c r="C157">
        <f t="shared" si="18"/>
        <v>0</v>
      </c>
      <c r="D157">
        <f t="shared" si="18"/>
        <v>0</v>
      </c>
      <c r="E157">
        <f t="shared" si="19"/>
        <v>0</v>
      </c>
    </row>
    <row r="158" spans="1:5" x14ac:dyDescent="0.2">
      <c r="A158">
        <f t="shared" si="15"/>
        <v>2200000000000</v>
      </c>
      <c r="B158">
        <f t="shared" si="20"/>
        <v>0</v>
      </c>
      <c r="C158">
        <f t="shared" si="18"/>
        <v>0</v>
      </c>
      <c r="D158">
        <f t="shared" si="18"/>
        <v>0</v>
      </c>
      <c r="E158">
        <f t="shared" si="19"/>
        <v>0</v>
      </c>
    </row>
    <row r="159" spans="1:5" x14ac:dyDescent="0.2">
      <c r="A159" s="16">
        <f t="shared" si="15"/>
        <v>2700000000000</v>
      </c>
      <c r="B159">
        <f t="shared" si="20"/>
        <v>2700000000000</v>
      </c>
      <c r="C159">
        <f t="shared" si="18"/>
        <v>0</v>
      </c>
      <c r="D159">
        <f t="shared" si="18"/>
        <v>0</v>
      </c>
      <c r="E159">
        <f t="shared" si="19"/>
        <v>2700000000000</v>
      </c>
    </row>
  </sheetData>
  <phoneticPr fontId="6"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0000"/>
  </sheetPr>
  <dimension ref="A1:Q55"/>
  <sheetViews>
    <sheetView zoomScaleNormal="100" workbookViewId="0">
      <selection activeCell="J13" sqref="J13"/>
    </sheetView>
  </sheetViews>
  <sheetFormatPr defaultRowHeight="12.75" x14ac:dyDescent="0.2"/>
  <cols>
    <col min="1" max="1" width="9.5703125" style="116" customWidth="1"/>
    <col min="2" max="2" width="11.42578125" style="116" customWidth="1"/>
    <col min="3" max="3" width="13.42578125" style="116" customWidth="1"/>
    <col min="4" max="4" width="20.140625" style="116" customWidth="1"/>
    <col min="5" max="5" width="17.28515625" style="116" customWidth="1"/>
    <col min="6" max="6" width="13.5703125" style="116" customWidth="1"/>
    <col min="7" max="7" width="16.140625" style="116" customWidth="1"/>
    <col min="8" max="8" width="18.140625" style="116" customWidth="1"/>
    <col min="9" max="9" width="10.85546875" style="116" customWidth="1"/>
    <col min="10" max="10" width="15.85546875" style="116" customWidth="1"/>
    <col min="11" max="11" width="11.85546875" style="474" customWidth="1"/>
    <col min="12" max="12" width="7.85546875" style="473" customWidth="1"/>
    <col min="13" max="13" width="11.7109375" style="116" customWidth="1"/>
    <col min="14" max="254" width="9.140625" style="116"/>
    <col min="255" max="255" width="8.7109375" style="116" bestFit="1" customWidth="1"/>
    <col min="256" max="256" width="13.28515625" style="116" customWidth="1"/>
    <col min="257" max="257" width="16.140625" style="116" bestFit="1" customWidth="1"/>
    <col min="258" max="258" width="23.5703125" style="116" customWidth="1"/>
    <col min="259" max="259" width="17.28515625" style="116" customWidth="1"/>
    <col min="260" max="260" width="20.5703125" style="116" bestFit="1" customWidth="1"/>
    <col min="261" max="261" width="17.140625" style="116" customWidth="1"/>
    <col min="262" max="262" width="21.85546875" style="116" bestFit="1" customWidth="1"/>
    <col min="263" max="263" width="17.140625" style="116" bestFit="1" customWidth="1"/>
    <col min="264" max="264" width="18.140625" style="116" bestFit="1" customWidth="1"/>
    <col min="265" max="265" width="26.42578125" style="116" customWidth="1"/>
    <col min="266" max="510" width="9.140625" style="116"/>
    <col min="511" max="511" width="8.7109375" style="116" bestFit="1" customWidth="1"/>
    <col min="512" max="512" width="13.28515625" style="116" customWidth="1"/>
    <col min="513" max="513" width="16.140625" style="116" bestFit="1" customWidth="1"/>
    <col min="514" max="514" width="23.5703125" style="116" customWidth="1"/>
    <col min="515" max="515" width="17.28515625" style="116" customWidth="1"/>
    <col min="516" max="516" width="20.5703125" style="116" bestFit="1" customWidth="1"/>
    <col min="517" max="517" width="17.140625" style="116" customWidth="1"/>
    <col min="518" max="518" width="21.85546875" style="116" bestFit="1" customWidth="1"/>
    <col min="519" max="519" width="17.140625" style="116" bestFit="1" customWidth="1"/>
    <col min="520" max="520" width="18.140625" style="116" bestFit="1" customWidth="1"/>
    <col min="521" max="521" width="26.42578125" style="116" customWidth="1"/>
    <col min="522" max="766" width="9.140625" style="116"/>
    <col min="767" max="767" width="8.7109375" style="116" bestFit="1" customWidth="1"/>
    <col min="768" max="768" width="13.28515625" style="116" customWidth="1"/>
    <col min="769" max="769" width="16.140625" style="116" bestFit="1" customWidth="1"/>
    <col min="770" max="770" width="23.5703125" style="116" customWidth="1"/>
    <col min="771" max="771" width="17.28515625" style="116" customWidth="1"/>
    <col min="772" max="772" width="20.5703125" style="116" bestFit="1" customWidth="1"/>
    <col min="773" max="773" width="17.140625" style="116" customWidth="1"/>
    <col min="774" max="774" width="21.85546875" style="116" bestFit="1" customWidth="1"/>
    <col min="775" max="775" width="17.140625" style="116" bestFit="1" customWidth="1"/>
    <col min="776" max="776" width="18.140625" style="116" bestFit="1" customWidth="1"/>
    <col min="777" max="777" width="26.42578125" style="116" customWidth="1"/>
    <col min="778" max="1022" width="9.140625" style="116"/>
    <col min="1023" max="1023" width="8.7109375" style="116" bestFit="1" customWidth="1"/>
    <col min="1024" max="1024" width="13.28515625" style="116" customWidth="1"/>
    <col min="1025" max="1025" width="16.140625" style="116" bestFit="1" customWidth="1"/>
    <col min="1026" max="1026" width="23.5703125" style="116" customWidth="1"/>
    <col min="1027" max="1027" width="17.28515625" style="116" customWidth="1"/>
    <col min="1028" max="1028" width="20.5703125" style="116" bestFit="1" customWidth="1"/>
    <col min="1029" max="1029" width="17.140625" style="116" customWidth="1"/>
    <col min="1030" max="1030" width="21.85546875" style="116" bestFit="1" customWidth="1"/>
    <col min="1031" max="1031" width="17.140625" style="116" bestFit="1" customWidth="1"/>
    <col min="1032" max="1032" width="18.140625" style="116" bestFit="1" customWidth="1"/>
    <col min="1033" max="1033" width="26.42578125" style="116" customWidth="1"/>
    <col min="1034" max="1278" width="9.140625" style="116"/>
    <col min="1279" max="1279" width="8.7109375" style="116" bestFit="1" customWidth="1"/>
    <col min="1280" max="1280" width="13.28515625" style="116" customWidth="1"/>
    <col min="1281" max="1281" width="16.140625" style="116" bestFit="1" customWidth="1"/>
    <col min="1282" max="1282" width="23.5703125" style="116" customWidth="1"/>
    <col min="1283" max="1283" width="17.28515625" style="116" customWidth="1"/>
    <col min="1284" max="1284" width="20.5703125" style="116" bestFit="1" customWidth="1"/>
    <col min="1285" max="1285" width="17.140625" style="116" customWidth="1"/>
    <col min="1286" max="1286" width="21.85546875" style="116" bestFit="1" customWidth="1"/>
    <col min="1287" max="1287" width="17.140625" style="116" bestFit="1" customWidth="1"/>
    <col min="1288" max="1288" width="18.140625" style="116" bestFit="1" customWidth="1"/>
    <col min="1289" max="1289" width="26.42578125" style="116" customWidth="1"/>
    <col min="1290" max="1534" width="9.140625" style="116"/>
    <col min="1535" max="1535" width="8.7109375" style="116" bestFit="1" customWidth="1"/>
    <col min="1536" max="1536" width="13.28515625" style="116" customWidth="1"/>
    <col min="1537" max="1537" width="16.140625" style="116" bestFit="1" customWidth="1"/>
    <col min="1538" max="1538" width="23.5703125" style="116" customWidth="1"/>
    <col min="1539" max="1539" width="17.28515625" style="116" customWidth="1"/>
    <col min="1540" max="1540" width="20.5703125" style="116" bestFit="1" customWidth="1"/>
    <col min="1541" max="1541" width="17.140625" style="116" customWidth="1"/>
    <col min="1542" max="1542" width="21.85546875" style="116" bestFit="1" customWidth="1"/>
    <col min="1543" max="1543" width="17.140625" style="116" bestFit="1" customWidth="1"/>
    <col min="1544" max="1544" width="18.140625" style="116" bestFit="1" customWidth="1"/>
    <col min="1545" max="1545" width="26.42578125" style="116" customWidth="1"/>
    <col min="1546" max="1790" width="9.140625" style="116"/>
    <col min="1791" max="1791" width="8.7109375" style="116" bestFit="1" customWidth="1"/>
    <col min="1792" max="1792" width="13.28515625" style="116" customWidth="1"/>
    <col min="1793" max="1793" width="16.140625" style="116" bestFit="1" customWidth="1"/>
    <col min="1794" max="1794" width="23.5703125" style="116" customWidth="1"/>
    <col min="1795" max="1795" width="17.28515625" style="116" customWidth="1"/>
    <col min="1796" max="1796" width="20.5703125" style="116" bestFit="1" customWidth="1"/>
    <col min="1797" max="1797" width="17.140625" style="116" customWidth="1"/>
    <col min="1798" max="1798" width="21.85546875" style="116" bestFit="1" customWidth="1"/>
    <col min="1799" max="1799" width="17.140625" style="116" bestFit="1" customWidth="1"/>
    <col min="1800" max="1800" width="18.140625" style="116" bestFit="1" customWidth="1"/>
    <col min="1801" max="1801" width="26.42578125" style="116" customWidth="1"/>
    <col min="1802" max="2046" width="9.140625" style="116"/>
    <col min="2047" max="2047" width="8.7109375" style="116" bestFit="1" customWidth="1"/>
    <col min="2048" max="2048" width="13.28515625" style="116" customWidth="1"/>
    <col min="2049" max="2049" width="16.140625" style="116" bestFit="1" customWidth="1"/>
    <col min="2050" max="2050" width="23.5703125" style="116" customWidth="1"/>
    <col min="2051" max="2051" width="17.28515625" style="116" customWidth="1"/>
    <col min="2052" max="2052" width="20.5703125" style="116" bestFit="1" customWidth="1"/>
    <col min="2053" max="2053" width="17.140625" style="116" customWidth="1"/>
    <col min="2054" max="2054" width="21.85546875" style="116" bestFit="1" customWidth="1"/>
    <col min="2055" max="2055" width="17.140625" style="116" bestFit="1" customWidth="1"/>
    <col min="2056" max="2056" width="18.140625" style="116" bestFit="1" customWidth="1"/>
    <col min="2057" max="2057" width="26.42578125" style="116" customWidth="1"/>
    <col min="2058" max="2302" width="9.140625" style="116"/>
    <col min="2303" max="2303" width="8.7109375" style="116" bestFit="1" customWidth="1"/>
    <col min="2304" max="2304" width="13.28515625" style="116" customWidth="1"/>
    <col min="2305" max="2305" width="16.140625" style="116" bestFit="1" customWidth="1"/>
    <col min="2306" max="2306" width="23.5703125" style="116" customWidth="1"/>
    <col min="2307" max="2307" width="17.28515625" style="116" customWidth="1"/>
    <col min="2308" max="2308" width="20.5703125" style="116" bestFit="1" customWidth="1"/>
    <col min="2309" max="2309" width="17.140625" style="116" customWidth="1"/>
    <col min="2310" max="2310" width="21.85546875" style="116" bestFit="1" customWidth="1"/>
    <col min="2311" max="2311" width="17.140625" style="116" bestFit="1" customWidth="1"/>
    <col min="2312" max="2312" width="18.140625" style="116" bestFit="1" customWidth="1"/>
    <col min="2313" max="2313" width="26.42578125" style="116" customWidth="1"/>
    <col min="2314" max="2558" width="9.140625" style="116"/>
    <col min="2559" max="2559" width="8.7109375" style="116" bestFit="1" customWidth="1"/>
    <col min="2560" max="2560" width="13.28515625" style="116" customWidth="1"/>
    <col min="2561" max="2561" width="16.140625" style="116" bestFit="1" customWidth="1"/>
    <col min="2562" max="2562" width="23.5703125" style="116" customWidth="1"/>
    <col min="2563" max="2563" width="17.28515625" style="116" customWidth="1"/>
    <col min="2564" max="2564" width="20.5703125" style="116" bestFit="1" customWidth="1"/>
    <col min="2565" max="2565" width="17.140625" style="116" customWidth="1"/>
    <col min="2566" max="2566" width="21.85546875" style="116" bestFit="1" customWidth="1"/>
    <col min="2567" max="2567" width="17.140625" style="116" bestFit="1" customWidth="1"/>
    <col min="2568" max="2568" width="18.140625" style="116" bestFit="1" customWidth="1"/>
    <col min="2569" max="2569" width="26.42578125" style="116" customWidth="1"/>
    <col min="2570" max="2814" width="9.140625" style="116"/>
    <col min="2815" max="2815" width="8.7109375" style="116" bestFit="1" customWidth="1"/>
    <col min="2816" max="2816" width="13.28515625" style="116" customWidth="1"/>
    <col min="2817" max="2817" width="16.140625" style="116" bestFit="1" customWidth="1"/>
    <col min="2818" max="2818" width="23.5703125" style="116" customWidth="1"/>
    <col min="2819" max="2819" width="17.28515625" style="116" customWidth="1"/>
    <col min="2820" max="2820" width="20.5703125" style="116" bestFit="1" customWidth="1"/>
    <col min="2821" max="2821" width="17.140625" style="116" customWidth="1"/>
    <col min="2822" max="2822" width="21.85546875" style="116" bestFit="1" customWidth="1"/>
    <col min="2823" max="2823" width="17.140625" style="116" bestFit="1" customWidth="1"/>
    <col min="2824" max="2824" width="18.140625" style="116" bestFit="1" customWidth="1"/>
    <col min="2825" max="2825" width="26.42578125" style="116" customWidth="1"/>
    <col min="2826" max="3070" width="9.140625" style="116"/>
    <col min="3071" max="3071" width="8.7109375" style="116" bestFit="1" customWidth="1"/>
    <col min="3072" max="3072" width="13.28515625" style="116" customWidth="1"/>
    <col min="3073" max="3073" width="16.140625" style="116" bestFit="1" customWidth="1"/>
    <col min="3074" max="3074" width="23.5703125" style="116" customWidth="1"/>
    <col min="3075" max="3075" width="17.28515625" style="116" customWidth="1"/>
    <col min="3076" max="3076" width="20.5703125" style="116" bestFit="1" customWidth="1"/>
    <col min="3077" max="3077" width="17.140625" style="116" customWidth="1"/>
    <col min="3078" max="3078" width="21.85546875" style="116" bestFit="1" customWidth="1"/>
    <col min="3079" max="3079" width="17.140625" style="116" bestFit="1" customWidth="1"/>
    <col min="3080" max="3080" width="18.140625" style="116" bestFit="1" customWidth="1"/>
    <col min="3081" max="3081" width="26.42578125" style="116" customWidth="1"/>
    <col min="3082" max="3326" width="9.140625" style="116"/>
    <col min="3327" max="3327" width="8.7109375" style="116" bestFit="1" customWidth="1"/>
    <col min="3328" max="3328" width="13.28515625" style="116" customWidth="1"/>
    <col min="3329" max="3329" width="16.140625" style="116" bestFit="1" customWidth="1"/>
    <col min="3330" max="3330" width="23.5703125" style="116" customWidth="1"/>
    <col min="3331" max="3331" width="17.28515625" style="116" customWidth="1"/>
    <col min="3332" max="3332" width="20.5703125" style="116" bestFit="1" customWidth="1"/>
    <col min="3333" max="3333" width="17.140625" style="116" customWidth="1"/>
    <col min="3334" max="3334" width="21.85546875" style="116" bestFit="1" customWidth="1"/>
    <col min="3335" max="3335" width="17.140625" style="116" bestFit="1" customWidth="1"/>
    <col min="3336" max="3336" width="18.140625" style="116" bestFit="1" customWidth="1"/>
    <col min="3337" max="3337" width="26.42578125" style="116" customWidth="1"/>
    <col min="3338" max="3582" width="9.140625" style="116"/>
    <col min="3583" max="3583" width="8.7109375" style="116" bestFit="1" customWidth="1"/>
    <col min="3584" max="3584" width="13.28515625" style="116" customWidth="1"/>
    <col min="3585" max="3585" width="16.140625" style="116" bestFit="1" customWidth="1"/>
    <col min="3586" max="3586" width="23.5703125" style="116" customWidth="1"/>
    <col min="3587" max="3587" width="17.28515625" style="116" customWidth="1"/>
    <col min="3588" max="3588" width="20.5703125" style="116" bestFit="1" customWidth="1"/>
    <col min="3589" max="3589" width="17.140625" style="116" customWidth="1"/>
    <col min="3590" max="3590" width="21.85546875" style="116" bestFit="1" customWidth="1"/>
    <col min="3591" max="3591" width="17.140625" style="116" bestFit="1" customWidth="1"/>
    <col min="3592" max="3592" width="18.140625" style="116" bestFit="1" customWidth="1"/>
    <col min="3593" max="3593" width="26.42578125" style="116" customWidth="1"/>
    <col min="3594" max="3838" width="9.140625" style="116"/>
    <col min="3839" max="3839" width="8.7109375" style="116" bestFit="1" customWidth="1"/>
    <col min="3840" max="3840" width="13.28515625" style="116" customWidth="1"/>
    <col min="3841" max="3841" width="16.140625" style="116" bestFit="1" customWidth="1"/>
    <col min="3842" max="3842" width="23.5703125" style="116" customWidth="1"/>
    <col min="3843" max="3843" width="17.28515625" style="116" customWidth="1"/>
    <col min="3844" max="3844" width="20.5703125" style="116" bestFit="1" customWidth="1"/>
    <col min="3845" max="3845" width="17.140625" style="116" customWidth="1"/>
    <col min="3846" max="3846" width="21.85546875" style="116" bestFit="1" customWidth="1"/>
    <col min="3847" max="3847" width="17.140625" style="116" bestFit="1" customWidth="1"/>
    <col min="3848" max="3848" width="18.140625" style="116" bestFit="1" customWidth="1"/>
    <col min="3849" max="3849" width="26.42578125" style="116" customWidth="1"/>
    <col min="3850" max="4094" width="9.140625" style="116"/>
    <col min="4095" max="4095" width="8.7109375" style="116" bestFit="1" customWidth="1"/>
    <col min="4096" max="4096" width="13.28515625" style="116" customWidth="1"/>
    <col min="4097" max="4097" width="16.140625" style="116" bestFit="1" customWidth="1"/>
    <col min="4098" max="4098" width="23.5703125" style="116" customWidth="1"/>
    <col min="4099" max="4099" width="17.28515625" style="116" customWidth="1"/>
    <col min="4100" max="4100" width="20.5703125" style="116" bestFit="1" customWidth="1"/>
    <col min="4101" max="4101" width="17.140625" style="116" customWidth="1"/>
    <col min="4102" max="4102" width="21.85546875" style="116" bestFit="1" customWidth="1"/>
    <col min="4103" max="4103" width="17.140625" style="116" bestFit="1" customWidth="1"/>
    <col min="4104" max="4104" width="18.140625" style="116" bestFit="1" customWidth="1"/>
    <col min="4105" max="4105" width="26.42578125" style="116" customWidth="1"/>
    <col min="4106" max="4350" width="9.140625" style="116"/>
    <col min="4351" max="4351" width="8.7109375" style="116" bestFit="1" customWidth="1"/>
    <col min="4352" max="4352" width="13.28515625" style="116" customWidth="1"/>
    <col min="4353" max="4353" width="16.140625" style="116" bestFit="1" customWidth="1"/>
    <col min="4354" max="4354" width="23.5703125" style="116" customWidth="1"/>
    <col min="4355" max="4355" width="17.28515625" style="116" customWidth="1"/>
    <col min="4356" max="4356" width="20.5703125" style="116" bestFit="1" customWidth="1"/>
    <col min="4357" max="4357" width="17.140625" style="116" customWidth="1"/>
    <col min="4358" max="4358" width="21.85546875" style="116" bestFit="1" customWidth="1"/>
    <col min="4359" max="4359" width="17.140625" style="116" bestFit="1" customWidth="1"/>
    <col min="4360" max="4360" width="18.140625" style="116" bestFit="1" customWidth="1"/>
    <col min="4361" max="4361" width="26.42578125" style="116" customWidth="1"/>
    <col min="4362" max="4606" width="9.140625" style="116"/>
    <col min="4607" max="4607" width="8.7109375" style="116" bestFit="1" customWidth="1"/>
    <col min="4608" max="4608" width="13.28515625" style="116" customWidth="1"/>
    <col min="4609" max="4609" width="16.140625" style="116" bestFit="1" customWidth="1"/>
    <col min="4610" max="4610" width="23.5703125" style="116" customWidth="1"/>
    <col min="4611" max="4611" width="17.28515625" style="116" customWidth="1"/>
    <col min="4612" max="4612" width="20.5703125" style="116" bestFit="1" customWidth="1"/>
    <col min="4613" max="4613" width="17.140625" style="116" customWidth="1"/>
    <col min="4614" max="4614" width="21.85546875" style="116" bestFit="1" customWidth="1"/>
    <col min="4615" max="4615" width="17.140625" style="116" bestFit="1" customWidth="1"/>
    <col min="4616" max="4616" width="18.140625" style="116" bestFit="1" customWidth="1"/>
    <col min="4617" max="4617" width="26.42578125" style="116" customWidth="1"/>
    <col min="4618" max="4862" width="9.140625" style="116"/>
    <col min="4863" max="4863" width="8.7109375" style="116" bestFit="1" customWidth="1"/>
    <col min="4864" max="4864" width="13.28515625" style="116" customWidth="1"/>
    <col min="4865" max="4865" width="16.140625" style="116" bestFit="1" customWidth="1"/>
    <col min="4866" max="4866" width="23.5703125" style="116" customWidth="1"/>
    <col min="4867" max="4867" width="17.28515625" style="116" customWidth="1"/>
    <col min="4868" max="4868" width="20.5703125" style="116" bestFit="1" customWidth="1"/>
    <col min="4869" max="4869" width="17.140625" style="116" customWidth="1"/>
    <col min="4870" max="4870" width="21.85546875" style="116" bestFit="1" customWidth="1"/>
    <col min="4871" max="4871" width="17.140625" style="116" bestFit="1" customWidth="1"/>
    <col min="4872" max="4872" width="18.140625" style="116" bestFit="1" customWidth="1"/>
    <col min="4873" max="4873" width="26.42578125" style="116" customWidth="1"/>
    <col min="4874" max="5118" width="9.140625" style="116"/>
    <col min="5119" max="5119" width="8.7109375" style="116" bestFit="1" customWidth="1"/>
    <col min="5120" max="5120" width="13.28515625" style="116" customWidth="1"/>
    <col min="5121" max="5121" width="16.140625" style="116" bestFit="1" customWidth="1"/>
    <col min="5122" max="5122" width="23.5703125" style="116" customWidth="1"/>
    <col min="5123" max="5123" width="17.28515625" style="116" customWidth="1"/>
    <col min="5124" max="5124" width="20.5703125" style="116" bestFit="1" customWidth="1"/>
    <col min="5125" max="5125" width="17.140625" style="116" customWidth="1"/>
    <col min="5126" max="5126" width="21.85546875" style="116" bestFit="1" customWidth="1"/>
    <col min="5127" max="5127" width="17.140625" style="116" bestFit="1" customWidth="1"/>
    <col min="5128" max="5128" width="18.140625" style="116" bestFit="1" customWidth="1"/>
    <col min="5129" max="5129" width="26.42578125" style="116" customWidth="1"/>
    <col min="5130" max="5374" width="9.140625" style="116"/>
    <col min="5375" max="5375" width="8.7109375" style="116" bestFit="1" customWidth="1"/>
    <col min="5376" max="5376" width="13.28515625" style="116" customWidth="1"/>
    <col min="5377" max="5377" width="16.140625" style="116" bestFit="1" customWidth="1"/>
    <col min="5378" max="5378" width="23.5703125" style="116" customWidth="1"/>
    <col min="5379" max="5379" width="17.28515625" style="116" customWidth="1"/>
    <col min="5380" max="5380" width="20.5703125" style="116" bestFit="1" customWidth="1"/>
    <col min="5381" max="5381" width="17.140625" style="116" customWidth="1"/>
    <col min="5382" max="5382" width="21.85546875" style="116" bestFit="1" customWidth="1"/>
    <col min="5383" max="5383" width="17.140625" style="116" bestFit="1" customWidth="1"/>
    <col min="5384" max="5384" width="18.140625" style="116" bestFit="1" customWidth="1"/>
    <col min="5385" max="5385" width="26.42578125" style="116" customWidth="1"/>
    <col min="5386" max="5630" width="9.140625" style="116"/>
    <col min="5631" max="5631" width="8.7109375" style="116" bestFit="1" customWidth="1"/>
    <col min="5632" max="5632" width="13.28515625" style="116" customWidth="1"/>
    <col min="5633" max="5633" width="16.140625" style="116" bestFit="1" customWidth="1"/>
    <col min="5634" max="5634" width="23.5703125" style="116" customWidth="1"/>
    <col min="5635" max="5635" width="17.28515625" style="116" customWidth="1"/>
    <col min="5636" max="5636" width="20.5703125" style="116" bestFit="1" customWidth="1"/>
    <col min="5637" max="5637" width="17.140625" style="116" customWidth="1"/>
    <col min="5638" max="5638" width="21.85546875" style="116" bestFit="1" customWidth="1"/>
    <col min="5639" max="5639" width="17.140625" style="116" bestFit="1" customWidth="1"/>
    <col min="5640" max="5640" width="18.140625" style="116" bestFit="1" customWidth="1"/>
    <col min="5641" max="5641" width="26.42578125" style="116" customWidth="1"/>
    <col min="5642" max="5886" width="9.140625" style="116"/>
    <col min="5887" max="5887" width="8.7109375" style="116" bestFit="1" customWidth="1"/>
    <col min="5888" max="5888" width="13.28515625" style="116" customWidth="1"/>
    <col min="5889" max="5889" width="16.140625" style="116" bestFit="1" customWidth="1"/>
    <col min="5890" max="5890" width="23.5703125" style="116" customWidth="1"/>
    <col min="5891" max="5891" width="17.28515625" style="116" customWidth="1"/>
    <col min="5892" max="5892" width="20.5703125" style="116" bestFit="1" customWidth="1"/>
    <col min="5893" max="5893" width="17.140625" style="116" customWidth="1"/>
    <col min="5894" max="5894" width="21.85546875" style="116" bestFit="1" customWidth="1"/>
    <col min="5895" max="5895" width="17.140625" style="116" bestFit="1" customWidth="1"/>
    <col min="5896" max="5896" width="18.140625" style="116" bestFit="1" customWidth="1"/>
    <col min="5897" max="5897" width="26.42578125" style="116" customWidth="1"/>
    <col min="5898" max="6142" width="9.140625" style="116"/>
    <col min="6143" max="6143" width="8.7109375" style="116" bestFit="1" customWidth="1"/>
    <col min="6144" max="6144" width="13.28515625" style="116" customWidth="1"/>
    <col min="6145" max="6145" width="16.140625" style="116" bestFit="1" customWidth="1"/>
    <col min="6146" max="6146" width="23.5703125" style="116" customWidth="1"/>
    <col min="6147" max="6147" width="17.28515625" style="116" customWidth="1"/>
    <col min="6148" max="6148" width="20.5703125" style="116" bestFit="1" customWidth="1"/>
    <col min="6149" max="6149" width="17.140625" style="116" customWidth="1"/>
    <col min="6150" max="6150" width="21.85546875" style="116" bestFit="1" customWidth="1"/>
    <col min="6151" max="6151" width="17.140625" style="116" bestFit="1" customWidth="1"/>
    <col min="6152" max="6152" width="18.140625" style="116" bestFit="1" customWidth="1"/>
    <col min="6153" max="6153" width="26.42578125" style="116" customWidth="1"/>
    <col min="6154" max="6398" width="9.140625" style="116"/>
    <col min="6399" max="6399" width="8.7109375" style="116" bestFit="1" customWidth="1"/>
    <col min="6400" max="6400" width="13.28515625" style="116" customWidth="1"/>
    <col min="6401" max="6401" width="16.140625" style="116" bestFit="1" customWidth="1"/>
    <col min="6402" max="6402" width="23.5703125" style="116" customWidth="1"/>
    <col min="6403" max="6403" width="17.28515625" style="116" customWidth="1"/>
    <col min="6404" max="6404" width="20.5703125" style="116" bestFit="1" customWidth="1"/>
    <col min="6405" max="6405" width="17.140625" style="116" customWidth="1"/>
    <col min="6406" max="6406" width="21.85546875" style="116" bestFit="1" customWidth="1"/>
    <col min="6407" max="6407" width="17.140625" style="116" bestFit="1" customWidth="1"/>
    <col min="6408" max="6408" width="18.140625" style="116" bestFit="1" customWidth="1"/>
    <col min="6409" max="6409" width="26.42578125" style="116" customWidth="1"/>
    <col min="6410" max="6654" width="9.140625" style="116"/>
    <col min="6655" max="6655" width="8.7109375" style="116" bestFit="1" customWidth="1"/>
    <col min="6656" max="6656" width="13.28515625" style="116" customWidth="1"/>
    <col min="6657" max="6657" width="16.140625" style="116" bestFit="1" customWidth="1"/>
    <col min="6658" max="6658" width="23.5703125" style="116" customWidth="1"/>
    <col min="6659" max="6659" width="17.28515625" style="116" customWidth="1"/>
    <col min="6660" max="6660" width="20.5703125" style="116" bestFit="1" customWidth="1"/>
    <col min="6661" max="6661" width="17.140625" style="116" customWidth="1"/>
    <col min="6662" max="6662" width="21.85546875" style="116" bestFit="1" customWidth="1"/>
    <col min="6663" max="6663" width="17.140625" style="116" bestFit="1" customWidth="1"/>
    <col min="6664" max="6664" width="18.140625" style="116" bestFit="1" customWidth="1"/>
    <col min="6665" max="6665" width="26.42578125" style="116" customWidth="1"/>
    <col min="6666" max="6910" width="9.140625" style="116"/>
    <col min="6911" max="6911" width="8.7109375" style="116" bestFit="1" customWidth="1"/>
    <col min="6912" max="6912" width="13.28515625" style="116" customWidth="1"/>
    <col min="6913" max="6913" width="16.140625" style="116" bestFit="1" customWidth="1"/>
    <col min="6914" max="6914" width="23.5703125" style="116" customWidth="1"/>
    <col min="6915" max="6915" width="17.28515625" style="116" customWidth="1"/>
    <col min="6916" max="6916" width="20.5703125" style="116" bestFit="1" customWidth="1"/>
    <col min="6917" max="6917" width="17.140625" style="116" customWidth="1"/>
    <col min="6918" max="6918" width="21.85546875" style="116" bestFit="1" customWidth="1"/>
    <col min="6919" max="6919" width="17.140625" style="116" bestFit="1" customWidth="1"/>
    <col min="6920" max="6920" width="18.140625" style="116" bestFit="1" customWidth="1"/>
    <col min="6921" max="6921" width="26.42578125" style="116" customWidth="1"/>
    <col min="6922" max="7166" width="9.140625" style="116"/>
    <col min="7167" max="7167" width="8.7109375" style="116" bestFit="1" customWidth="1"/>
    <col min="7168" max="7168" width="13.28515625" style="116" customWidth="1"/>
    <col min="7169" max="7169" width="16.140625" style="116" bestFit="1" customWidth="1"/>
    <col min="7170" max="7170" width="23.5703125" style="116" customWidth="1"/>
    <col min="7171" max="7171" width="17.28515625" style="116" customWidth="1"/>
    <col min="7172" max="7172" width="20.5703125" style="116" bestFit="1" customWidth="1"/>
    <col min="7173" max="7173" width="17.140625" style="116" customWidth="1"/>
    <col min="7174" max="7174" width="21.85546875" style="116" bestFit="1" customWidth="1"/>
    <col min="7175" max="7175" width="17.140625" style="116" bestFit="1" customWidth="1"/>
    <col min="7176" max="7176" width="18.140625" style="116" bestFit="1" customWidth="1"/>
    <col min="7177" max="7177" width="26.42578125" style="116" customWidth="1"/>
    <col min="7178" max="7422" width="9.140625" style="116"/>
    <col min="7423" max="7423" width="8.7109375" style="116" bestFit="1" customWidth="1"/>
    <col min="7424" max="7424" width="13.28515625" style="116" customWidth="1"/>
    <col min="7425" max="7425" width="16.140625" style="116" bestFit="1" customWidth="1"/>
    <col min="7426" max="7426" width="23.5703125" style="116" customWidth="1"/>
    <col min="7427" max="7427" width="17.28515625" style="116" customWidth="1"/>
    <col min="7428" max="7428" width="20.5703125" style="116" bestFit="1" customWidth="1"/>
    <col min="7429" max="7429" width="17.140625" style="116" customWidth="1"/>
    <col min="7430" max="7430" width="21.85546875" style="116" bestFit="1" customWidth="1"/>
    <col min="7431" max="7431" width="17.140625" style="116" bestFit="1" customWidth="1"/>
    <col min="7432" max="7432" width="18.140625" style="116" bestFit="1" customWidth="1"/>
    <col min="7433" max="7433" width="26.42578125" style="116" customWidth="1"/>
    <col min="7434" max="7678" width="9.140625" style="116"/>
    <col min="7679" max="7679" width="8.7109375" style="116" bestFit="1" customWidth="1"/>
    <col min="7680" max="7680" width="13.28515625" style="116" customWidth="1"/>
    <col min="7681" max="7681" width="16.140625" style="116" bestFit="1" customWidth="1"/>
    <col min="7682" max="7682" width="23.5703125" style="116" customWidth="1"/>
    <col min="7683" max="7683" width="17.28515625" style="116" customWidth="1"/>
    <col min="7684" max="7684" width="20.5703125" style="116" bestFit="1" customWidth="1"/>
    <col min="7685" max="7685" width="17.140625" style="116" customWidth="1"/>
    <col min="7686" max="7686" width="21.85546875" style="116" bestFit="1" customWidth="1"/>
    <col min="7687" max="7687" width="17.140625" style="116" bestFit="1" customWidth="1"/>
    <col min="7688" max="7688" width="18.140625" style="116" bestFit="1" customWidth="1"/>
    <col min="7689" max="7689" width="26.42578125" style="116" customWidth="1"/>
    <col min="7690" max="7934" width="9.140625" style="116"/>
    <col min="7935" max="7935" width="8.7109375" style="116" bestFit="1" customWidth="1"/>
    <col min="7936" max="7936" width="13.28515625" style="116" customWidth="1"/>
    <col min="7937" max="7937" width="16.140625" style="116" bestFit="1" customWidth="1"/>
    <col min="7938" max="7938" width="23.5703125" style="116" customWidth="1"/>
    <col min="7939" max="7939" width="17.28515625" style="116" customWidth="1"/>
    <col min="7940" max="7940" width="20.5703125" style="116" bestFit="1" customWidth="1"/>
    <col min="7941" max="7941" width="17.140625" style="116" customWidth="1"/>
    <col min="7942" max="7942" width="21.85546875" style="116" bestFit="1" customWidth="1"/>
    <col min="7943" max="7943" width="17.140625" style="116" bestFit="1" customWidth="1"/>
    <col min="7944" max="7944" width="18.140625" style="116" bestFit="1" customWidth="1"/>
    <col min="7945" max="7945" width="26.42578125" style="116" customWidth="1"/>
    <col min="7946" max="8190" width="9.140625" style="116"/>
    <col min="8191" max="8191" width="8.7109375" style="116" bestFit="1" customWidth="1"/>
    <col min="8192" max="8192" width="13.28515625" style="116" customWidth="1"/>
    <col min="8193" max="8193" width="16.140625" style="116" bestFit="1" customWidth="1"/>
    <col min="8194" max="8194" width="23.5703125" style="116" customWidth="1"/>
    <col min="8195" max="8195" width="17.28515625" style="116" customWidth="1"/>
    <col min="8196" max="8196" width="20.5703125" style="116" bestFit="1" customWidth="1"/>
    <col min="8197" max="8197" width="17.140625" style="116" customWidth="1"/>
    <col min="8198" max="8198" width="21.85546875" style="116" bestFit="1" customWidth="1"/>
    <col min="8199" max="8199" width="17.140625" style="116" bestFit="1" customWidth="1"/>
    <col min="8200" max="8200" width="18.140625" style="116" bestFit="1" customWidth="1"/>
    <col min="8201" max="8201" width="26.42578125" style="116" customWidth="1"/>
    <col min="8202" max="8446" width="9.140625" style="116"/>
    <col min="8447" max="8447" width="8.7109375" style="116" bestFit="1" customWidth="1"/>
    <col min="8448" max="8448" width="13.28515625" style="116" customWidth="1"/>
    <col min="8449" max="8449" width="16.140625" style="116" bestFit="1" customWidth="1"/>
    <col min="8450" max="8450" width="23.5703125" style="116" customWidth="1"/>
    <col min="8451" max="8451" width="17.28515625" style="116" customWidth="1"/>
    <col min="8452" max="8452" width="20.5703125" style="116" bestFit="1" customWidth="1"/>
    <col min="8453" max="8453" width="17.140625" style="116" customWidth="1"/>
    <col min="8454" max="8454" width="21.85546875" style="116" bestFit="1" customWidth="1"/>
    <col min="8455" max="8455" width="17.140625" style="116" bestFit="1" customWidth="1"/>
    <col min="8456" max="8456" width="18.140625" style="116" bestFit="1" customWidth="1"/>
    <col min="8457" max="8457" width="26.42578125" style="116" customWidth="1"/>
    <col min="8458" max="8702" width="9.140625" style="116"/>
    <col min="8703" max="8703" width="8.7109375" style="116" bestFit="1" customWidth="1"/>
    <col min="8704" max="8704" width="13.28515625" style="116" customWidth="1"/>
    <col min="8705" max="8705" width="16.140625" style="116" bestFit="1" customWidth="1"/>
    <col min="8706" max="8706" width="23.5703125" style="116" customWidth="1"/>
    <col min="8707" max="8707" width="17.28515625" style="116" customWidth="1"/>
    <col min="8708" max="8708" width="20.5703125" style="116" bestFit="1" customWidth="1"/>
    <col min="8709" max="8709" width="17.140625" style="116" customWidth="1"/>
    <col min="8710" max="8710" width="21.85546875" style="116" bestFit="1" customWidth="1"/>
    <col min="8711" max="8711" width="17.140625" style="116" bestFit="1" customWidth="1"/>
    <col min="8712" max="8712" width="18.140625" style="116" bestFit="1" customWidth="1"/>
    <col min="8713" max="8713" width="26.42578125" style="116" customWidth="1"/>
    <col min="8714" max="8958" width="9.140625" style="116"/>
    <col min="8959" max="8959" width="8.7109375" style="116" bestFit="1" customWidth="1"/>
    <col min="8960" max="8960" width="13.28515625" style="116" customWidth="1"/>
    <col min="8961" max="8961" width="16.140625" style="116" bestFit="1" customWidth="1"/>
    <col min="8962" max="8962" width="23.5703125" style="116" customWidth="1"/>
    <col min="8963" max="8963" width="17.28515625" style="116" customWidth="1"/>
    <col min="8964" max="8964" width="20.5703125" style="116" bestFit="1" customWidth="1"/>
    <col min="8965" max="8965" width="17.140625" style="116" customWidth="1"/>
    <col min="8966" max="8966" width="21.85546875" style="116" bestFit="1" customWidth="1"/>
    <col min="8967" max="8967" width="17.140625" style="116" bestFit="1" customWidth="1"/>
    <col min="8968" max="8968" width="18.140625" style="116" bestFit="1" customWidth="1"/>
    <col min="8969" max="8969" width="26.42578125" style="116" customWidth="1"/>
    <col min="8970" max="9214" width="9.140625" style="116"/>
    <col min="9215" max="9215" width="8.7109375" style="116" bestFit="1" customWidth="1"/>
    <col min="9216" max="9216" width="13.28515625" style="116" customWidth="1"/>
    <col min="9217" max="9217" width="16.140625" style="116" bestFit="1" customWidth="1"/>
    <col min="9218" max="9218" width="23.5703125" style="116" customWidth="1"/>
    <col min="9219" max="9219" width="17.28515625" style="116" customWidth="1"/>
    <col min="9220" max="9220" width="20.5703125" style="116" bestFit="1" customWidth="1"/>
    <col min="9221" max="9221" width="17.140625" style="116" customWidth="1"/>
    <col min="9222" max="9222" width="21.85546875" style="116" bestFit="1" customWidth="1"/>
    <col min="9223" max="9223" width="17.140625" style="116" bestFit="1" customWidth="1"/>
    <col min="9224" max="9224" width="18.140625" style="116" bestFit="1" customWidth="1"/>
    <col min="9225" max="9225" width="26.42578125" style="116" customWidth="1"/>
    <col min="9226" max="9470" width="9.140625" style="116"/>
    <col min="9471" max="9471" width="8.7109375" style="116" bestFit="1" customWidth="1"/>
    <col min="9472" max="9472" width="13.28515625" style="116" customWidth="1"/>
    <col min="9473" max="9473" width="16.140625" style="116" bestFit="1" customWidth="1"/>
    <col min="9474" max="9474" width="23.5703125" style="116" customWidth="1"/>
    <col min="9475" max="9475" width="17.28515625" style="116" customWidth="1"/>
    <col min="9476" max="9476" width="20.5703125" style="116" bestFit="1" customWidth="1"/>
    <col min="9477" max="9477" width="17.140625" style="116" customWidth="1"/>
    <col min="9478" max="9478" width="21.85546875" style="116" bestFit="1" customWidth="1"/>
    <col min="9479" max="9479" width="17.140625" style="116" bestFit="1" customWidth="1"/>
    <col min="9480" max="9480" width="18.140625" style="116" bestFit="1" customWidth="1"/>
    <col min="9481" max="9481" width="26.42578125" style="116" customWidth="1"/>
    <col min="9482" max="9726" width="9.140625" style="116"/>
    <col min="9727" max="9727" width="8.7109375" style="116" bestFit="1" customWidth="1"/>
    <col min="9728" max="9728" width="13.28515625" style="116" customWidth="1"/>
    <col min="9729" max="9729" width="16.140625" style="116" bestFit="1" customWidth="1"/>
    <col min="9730" max="9730" width="23.5703125" style="116" customWidth="1"/>
    <col min="9731" max="9731" width="17.28515625" style="116" customWidth="1"/>
    <col min="9732" max="9732" width="20.5703125" style="116" bestFit="1" customWidth="1"/>
    <col min="9733" max="9733" width="17.140625" style="116" customWidth="1"/>
    <col min="9734" max="9734" width="21.85546875" style="116" bestFit="1" customWidth="1"/>
    <col min="9735" max="9735" width="17.140625" style="116" bestFit="1" customWidth="1"/>
    <col min="9736" max="9736" width="18.140625" style="116" bestFit="1" customWidth="1"/>
    <col min="9737" max="9737" width="26.42578125" style="116" customWidth="1"/>
    <col min="9738" max="9982" width="9.140625" style="116"/>
    <col min="9983" max="9983" width="8.7109375" style="116" bestFit="1" customWidth="1"/>
    <col min="9984" max="9984" width="13.28515625" style="116" customWidth="1"/>
    <col min="9985" max="9985" width="16.140625" style="116" bestFit="1" customWidth="1"/>
    <col min="9986" max="9986" width="23.5703125" style="116" customWidth="1"/>
    <col min="9987" max="9987" width="17.28515625" style="116" customWidth="1"/>
    <col min="9988" max="9988" width="20.5703125" style="116" bestFit="1" customWidth="1"/>
    <col min="9989" max="9989" width="17.140625" style="116" customWidth="1"/>
    <col min="9990" max="9990" width="21.85546875" style="116" bestFit="1" customWidth="1"/>
    <col min="9991" max="9991" width="17.140625" style="116" bestFit="1" customWidth="1"/>
    <col min="9992" max="9992" width="18.140625" style="116" bestFit="1" customWidth="1"/>
    <col min="9993" max="9993" width="26.42578125" style="116" customWidth="1"/>
    <col min="9994" max="10238" width="9.140625" style="116"/>
    <col min="10239" max="10239" width="8.7109375" style="116" bestFit="1" customWidth="1"/>
    <col min="10240" max="10240" width="13.28515625" style="116" customWidth="1"/>
    <col min="10241" max="10241" width="16.140625" style="116" bestFit="1" customWidth="1"/>
    <col min="10242" max="10242" width="23.5703125" style="116" customWidth="1"/>
    <col min="10243" max="10243" width="17.28515625" style="116" customWidth="1"/>
    <col min="10244" max="10244" width="20.5703125" style="116" bestFit="1" customWidth="1"/>
    <col min="10245" max="10245" width="17.140625" style="116" customWidth="1"/>
    <col min="10246" max="10246" width="21.85546875" style="116" bestFit="1" customWidth="1"/>
    <col min="10247" max="10247" width="17.140625" style="116" bestFit="1" customWidth="1"/>
    <col min="10248" max="10248" width="18.140625" style="116" bestFit="1" customWidth="1"/>
    <col min="10249" max="10249" width="26.42578125" style="116" customWidth="1"/>
    <col min="10250" max="10494" width="9.140625" style="116"/>
    <col min="10495" max="10495" width="8.7109375" style="116" bestFit="1" customWidth="1"/>
    <col min="10496" max="10496" width="13.28515625" style="116" customWidth="1"/>
    <col min="10497" max="10497" width="16.140625" style="116" bestFit="1" customWidth="1"/>
    <col min="10498" max="10498" width="23.5703125" style="116" customWidth="1"/>
    <col min="10499" max="10499" width="17.28515625" style="116" customWidth="1"/>
    <col min="10500" max="10500" width="20.5703125" style="116" bestFit="1" customWidth="1"/>
    <col min="10501" max="10501" width="17.140625" style="116" customWidth="1"/>
    <col min="10502" max="10502" width="21.85546875" style="116" bestFit="1" customWidth="1"/>
    <col min="10503" max="10503" width="17.140625" style="116" bestFit="1" customWidth="1"/>
    <col min="10504" max="10504" width="18.140625" style="116" bestFit="1" customWidth="1"/>
    <col min="10505" max="10505" width="26.42578125" style="116" customWidth="1"/>
    <col min="10506" max="10750" width="9.140625" style="116"/>
    <col min="10751" max="10751" width="8.7109375" style="116" bestFit="1" customWidth="1"/>
    <col min="10752" max="10752" width="13.28515625" style="116" customWidth="1"/>
    <col min="10753" max="10753" width="16.140625" style="116" bestFit="1" customWidth="1"/>
    <col min="10754" max="10754" width="23.5703125" style="116" customWidth="1"/>
    <col min="10755" max="10755" width="17.28515625" style="116" customWidth="1"/>
    <col min="10756" max="10756" width="20.5703125" style="116" bestFit="1" customWidth="1"/>
    <col min="10757" max="10757" width="17.140625" style="116" customWidth="1"/>
    <col min="10758" max="10758" width="21.85546875" style="116" bestFit="1" customWidth="1"/>
    <col min="10759" max="10759" width="17.140625" style="116" bestFit="1" customWidth="1"/>
    <col min="10760" max="10760" width="18.140625" style="116" bestFit="1" customWidth="1"/>
    <col min="10761" max="10761" width="26.42578125" style="116" customWidth="1"/>
    <col min="10762" max="11006" width="9.140625" style="116"/>
    <col min="11007" max="11007" width="8.7109375" style="116" bestFit="1" customWidth="1"/>
    <col min="11008" max="11008" width="13.28515625" style="116" customWidth="1"/>
    <col min="11009" max="11009" width="16.140625" style="116" bestFit="1" customWidth="1"/>
    <col min="11010" max="11010" width="23.5703125" style="116" customWidth="1"/>
    <col min="11011" max="11011" width="17.28515625" style="116" customWidth="1"/>
    <col min="11012" max="11012" width="20.5703125" style="116" bestFit="1" customWidth="1"/>
    <col min="11013" max="11013" width="17.140625" style="116" customWidth="1"/>
    <col min="11014" max="11014" width="21.85546875" style="116" bestFit="1" customWidth="1"/>
    <col min="11015" max="11015" width="17.140625" style="116" bestFit="1" customWidth="1"/>
    <col min="11016" max="11016" width="18.140625" style="116" bestFit="1" customWidth="1"/>
    <col min="11017" max="11017" width="26.42578125" style="116" customWidth="1"/>
    <col min="11018" max="11262" width="9.140625" style="116"/>
    <col min="11263" max="11263" width="8.7109375" style="116" bestFit="1" customWidth="1"/>
    <col min="11264" max="11264" width="13.28515625" style="116" customWidth="1"/>
    <col min="11265" max="11265" width="16.140625" style="116" bestFit="1" customWidth="1"/>
    <col min="11266" max="11266" width="23.5703125" style="116" customWidth="1"/>
    <col min="11267" max="11267" width="17.28515625" style="116" customWidth="1"/>
    <col min="11268" max="11268" width="20.5703125" style="116" bestFit="1" customWidth="1"/>
    <col min="11269" max="11269" width="17.140625" style="116" customWidth="1"/>
    <col min="11270" max="11270" width="21.85546875" style="116" bestFit="1" customWidth="1"/>
    <col min="11271" max="11271" width="17.140625" style="116" bestFit="1" customWidth="1"/>
    <col min="11272" max="11272" width="18.140625" style="116" bestFit="1" customWidth="1"/>
    <col min="11273" max="11273" width="26.42578125" style="116" customWidth="1"/>
    <col min="11274" max="11518" width="9.140625" style="116"/>
    <col min="11519" max="11519" width="8.7109375" style="116" bestFit="1" customWidth="1"/>
    <col min="11520" max="11520" width="13.28515625" style="116" customWidth="1"/>
    <col min="11521" max="11521" width="16.140625" style="116" bestFit="1" customWidth="1"/>
    <col min="11522" max="11522" width="23.5703125" style="116" customWidth="1"/>
    <col min="11523" max="11523" width="17.28515625" style="116" customWidth="1"/>
    <col min="11524" max="11524" width="20.5703125" style="116" bestFit="1" customWidth="1"/>
    <col min="11525" max="11525" width="17.140625" style="116" customWidth="1"/>
    <col min="11526" max="11526" width="21.85546875" style="116" bestFit="1" customWidth="1"/>
    <col min="11527" max="11527" width="17.140625" style="116" bestFit="1" customWidth="1"/>
    <col min="11528" max="11528" width="18.140625" style="116" bestFit="1" customWidth="1"/>
    <col min="11529" max="11529" width="26.42578125" style="116" customWidth="1"/>
    <col min="11530" max="11774" width="9.140625" style="116"/>
    <col min="11775" max="11775" width="8.7109375" style="116" bestFit="1" customWidth="1"/>
    <col min="11776" max="11776" width="13.28515625" style="116" customWidth="1"/>
    <col min="11777" max="11777" width="16.140625" style="116" bestFit="1" customWidth="1"/>
    <col min="11778" max="11778" width="23.5703125" style="116" customWidth="1"/>
    <col min="11779" max="11779" width="17.28515625" style="116" customWidth="1"/>
    <col min="11780" max="11780" width="20.5703125" style="116" bestFit="1" customWidth="1"/>
    <col min="11781" max="11781" width="17.140625" style="116" customWidth="1"/>
    <col min="11782" max="11782" width="21.85546875" style="116" bestFit="1" customWidth="1"/>
    <col min="11783" max="11783" width="17.140625" style="116" bestFit="1" customWidth="1"/>
    <col min="11784" max="11784" width="18.140625" style="116" bestFit="1" customWidth="1"/>
    <col min="11785" max="11785" width="26.42578125" style="116" customWidth="1"/>
    <col min="11786" max="12030" width="9.140625" style="116"/>
    <col min="12031" max="12031" width="8.7109375" style="116" bestFit="1" customWidth="1"/>
    <col min="12032" max="12032" width="13.28515625" style="116" customWidth="1"/>
    <col min="12033" max="12033" width="16.140625" style="116" bestFit="1" customWidth="1"/>
    <col min="12034" max="12034" width="23.5703125" style="116" customWidth="1"/>
    <col min="12035" max="12035" width="17.28515625" style="116" customWidth="1"/>
    <col min="12036" max="12036" width="20.5703125" style="116" bestFit="1" customWidth="1"/>
    <col min="12037" max="12037" width="17.140625" style="116" customWidth="1"/>
    <col min="12038" max="12038" width="21.85546875" style="116" bestFit="1" customWidth="1"/>
    <col min="12039" max="12039" width="17.140625" style="116" bestFit="1" customWidth="1"/>
    <col min="12040" max="12040" width="18.140625" style="116" bestFit="1" customWidth="1"/>
    <col min="12041" max="12041" width="26.42578125" style="116" customWidth="1"/>
    <col min="12042" max="12286" width="9.140625" style="116"/>
    <col min="12287" max="12287" width="8.7109375" style="116" bestFit="1" customWidth="1"/>
    <col min="12288" max="12288" width="13.28515625" style="116" customWidth="1"/>
    <col min="12289" max="12289" width="16.140625" style="116" bestFit="1" customWidth="1"/>
    <col min="12290" max="12290" width="23.5703125" style="116" customWidth="1"/>
    <col min="12291" max="12291" width="17.28515625" style="116" customWidth="1"/>
    <col min="12292" max="12292" width="20.5703125" style="116" bestFit="1" customWidth="1"/>
    <col min="12293" max="12293" width="17.140625" style="116" customWidth="1"/>
    <col min="12294" max="12294" width="21.85546875" style="116" bestFit="1" customWidth="1"/>
    <col min="12295" max="12295" width="17.140625" style="116" bestFit="1" customWidth="1"/>
    <col min="12296" max="12296" width="18.140625" style="116" bestFit="1" customWidth="1"/>
    <col min="12297" max="12297" width="26.42578125" style="116" customWidth="1"/>
    <col min="12298" max="12542" width="9.140625" style="116"/>
    <col min="12543" max="12543" width="8.7109375" style="116" bestFit="1" customWidth="1"/>
    <col min="12544" max="12544" width="13.28515625" style="116" customWidth="1"/>
    <col min="12545" max="12545" width="16.140625" style="116" bestFit="1" customWidth="1"/>
    <col min="12546" max="12546" width="23.5703125" style="116" customWidth="1"/>
    <col min="12547" max="12547" width="17.28515625" style="116" customWidth="1"/>
    <col min="12548" max="12548" width="20.5703125" style="116" bestFit="1" customWidth="1"/>
    <col min="12549" max="12549" width="17.140625" style="116" customWidth="1"/>
    <col min="12550" max="12550" width="21.85546875" style="116" bestFit="1" customWidth="1"/>
    <col min="12551" max="12551" width="17.140625" style="116" bestFit="1" customWidth="1"/>
    <col min="12552" max="12552" width="18.140625" style="116" bestFit="1" customWidth="1"/>
    <col min="12553" max="12553" width="26.42578125" style="116" customWidth="1"/>
    <col min="12554" max="12798" width="9.140625" style="116"/>
    <col min="12799" max="12799" width="8.7109375" style="116" bestFit="1" customWidth="1"/>
    <col min="12800" max="12800" width="13.28515625" style="116" customWidth="1"/>
    <col min="12801" max="12801" width="16.140625" style="116" bestFit="1" customWidth="1"/>
    <col min="12802" max="12802" width="23.5703125" style="116" customWidth="1"/>
    <col min="12803" max="12803" width="17.28515625" style="116" customWidth="1"/>
    <col min="12804" max="12804" width="20.5703125" style="116" bestFit="1" customWidth="1"/>
    <col min="12805" max="12805" width="17.140625" style="116" customWidth="1"/>
    <col min="12806" max="12806" width="21.85546875" style="116" bestFit="1" customWidth="1"/>
    <col min="12807" max="12807" width="17.140625" style="116" bestFit="1" customWidth="1"/>
    <col min="12808" max="12808" width="18.140625" style="116" bestFit="1" customWidth="1"/>
    <col min="12809" max="12809" width="26.42578125" style="116" customWidth="1"/>
    <col min="12810" max="13054" width="9.140625" style="116"/>
    <col min="13055" max="13055" width="8.7109375" style="116" bestFit="1" customWidth="1"/>
    <col min="13056" max="13056" width="13.28515625" style="116" customWidth="1"/>
    <col min="13057" max="13057" width="16.140625" style="116" bestFit="1" customWidth="1"/>
    <col min="13058" max="13058" width="23.5703125" style="116" customWidth="1"/>
    <col min="13059" max="13059" width="17.28515625" style="116" customWidth="1"/>
    <col min="13060" max="13060" width="20.5703125" style="116" bestFit="1" customWidth="1"/>
    <col min="13061" max="13061" width="17.140625" style="116" customWidth="1"/>
    <col min="13062" max="13062" width="21.85546875" style="116" bestFit="1" customWidth="1"/>
    <col min="13063" max="13063" width="17.140625" style="116" bestFit="1" customWidth="1"/>
    <col min="13064" max="13064" width="18.140625" style="116" bestFit="1" customWidth="1"/>
    <col min="13065" max="13065" width="26.42578125" style="116" customWidth="1"/>
    <col min="13066" max="13310" width="9.140625" style="116"/>
    <col min="13311" max="13311" width="8.7109375" style="116" bestFit="1" customWidth="1"/>
    <col min="13312" max="13312" width="13.28515625" style="116" customWidth="1"/>
    <col min="13313" max="13313" width="16.140625" style="116" bestFit="1" customWidth="1"/>
    <col min="13314" max="13314" width="23.5703125" style="116" customWidth="1"/>
    <col min="13315" max="13315" width="17.28515625" style="116" customWidth="1"/>
    <col min="13316" max="13316" width="20.5703125" style="116" bestFit="1" customWidth="1"/>
    <col min="13317" max="13317" width="17.140625" style="116" customWidth="1"/>
    <col min="13318" max="13318" width="21.85546875" style="116" bestFit="1" customWidth="1"/>
    <col min="13319" max="13319" width="17.140625" style="116" bestFit="1" customWidth="1"/>
    <col min="13320" max="13320" width="18.140625" style="116" bestFit="1" customWidth="1"/>
    <col min="13321" max="13321" width="26.42578125" style="116" customWidth="1"/>
    <col min="13322" max="13566" width="9.140625" style="116"/>
    <col min="13567" max="13567" width="8.7109375" style="116" bestFit="1" customWidth="1"/>
    <col min="13568" max="13568" width="13.28515625" style="116" customWidth="1"/>
    <col min="13569" max="13569" width="16.140625" style="116" bestFit="1" customWidth="1"/>
    <col min="13570" max="13570" width="23.5703125" style="116" customWidth="1"/>
    <col min="13571" max="13571" width="17.28515625" style="116" customWidth="1"/>
    <col min="13572" max="13572" width="20.5703125" style="116" bestFit="1" customWidth="1"/>
    <col min="13573" max="13573" width="17.140625" style="116" customWidth="1"/>
    <col min="13574" max="13574" width="21.85546875" style="116" bestFit="1" customWidth="1"/>
    <col min="13575" max="13575" width="17.140625" style="116" bestFit="1" customWidth="1"/>
    <col min="13576" max="13576" width="18.140625" style="116" bestFit="1" customWidth="1"/>
    <col min="13577" max="13577" width="26.42578125" style="116" customWidth="1"/>
    <col min="13578" max="13822" width="9.140625" style="116"/>
    <col min="13823" max="13823" width="8.7109375" style="116" bestFit="1" customWidth="1"/>
    <col min="13824" max="13824" width="13.28515625" style="116" customWidth="1"/>
    <col min="13825" max="13825" width="16.140625" style="116" bestFit="1" customWidth="1"/>
    <col min="13826" max="13826" width="23.5703125" style="116" customWidth="1"/>
    <col min="13827" max="13827" width="17.28515625" style="116" customWidth="1"/>
    <col min="13828" max="13828" width="20.5703125" style="116" bestFit="1" customWidth="1"/>
    <col min="13829" max="13829" width="17.140625" style="116" customWidth="1"/>
    <col min="13830" max="13830" width="21.85546875" style="116" bestFit="1" customWidth="1"/>
    <col min="13831" max="13831" width="17.140625" style="116" bestFit="1" customWidth="1"/>
    <col min="13832" max="13832" width="18.140625" style="116" bestFit="1" customWidth="1"/>
    <col min="13833" max="13833" width="26.42578125" style="116" customWidth="1"/>
    <col min="13834" max="14078" width="9.140625" style="116"/>
    <col min="14079" max="14079" width="8.7109375" style="116" bestFit="1" customWidth="1"/>
    <col min="14080" max="14080" width="13.28515625" style="116" customWidth="1"/>
    <col min="14081" max="14081" width="16.140625" style="116" bestFit="1" customWidth="1"/>
    <col min="14082" max="14082" width="23.5703125" style="116" customWidth="1"/>
    <col min="14083" max="14083" width="17.28515625" style="116" customWidth="1"/>
    <col min="14084" max="14084" width="20.5703125" style="116" bestFit="1" customWidth="1"/>
    <col min="14085" max="14085" width="17.140625" style="116" customWidth="1"/>
    <col min="14086" max="14086" width="21.85546875" style="116" bestFit="1" customWidth="1"/>
    <col min="14087" max="14087" width="17.140625" style="116" bestFit="1" customWidth="1"/>
    <col min="14088" max="14088" width="18.140625" style="116" bestFit="1" customWidth="1"/>
    <col min="14089" max="14089" width="26.42578125" style="116" customWidth="1"/>
    <col min="14090" max="14334" width="9.140625" style="116"/>
    <col min="14335" max="14335" width="8.7109375" style="116" bestFit="1" customWidth="1"/>
    <col min="14336" max="14336" width="13.28515625" style="116" customWidth="1"/>
    <col min="14337" max="14337" width="16.140625" style="116" bestFit="1" customWidth="1"/>
    <col min="14338" max="14338" width="23.5703125" style="116" customWidth="1"/>
    <col min="14339" max="14339" width="17.28515625" style="116" customWidth="1"/>
    <col min="14340" max="14340" width="20.5703125" style="116" bestFit="1" customWidth="1"/>
    <col min="14341" max="14341" width="17.140625" style="116" customWidth="1"/>
    <col min="14342" max="14342" width="21.85546875" style="116" bestFit="1" customWidth="1"/>
    <col min="14343" max="14343" width="17.140625" style="116" bestFit="1" customWidth="1"/>
    <col min="14344" max="14344" width="18.140625" style="116" bestFit="1" customWidth="1"/>
    <col min="14345" max="14345" width="26.42578125" style="116" customWidth="1"/>
    <col min="14346" max="14590" width="9.140625" style="116"/>
    <col min="14591" max="14591" width="8.7109375" style="116" bestFit="1" customWidth="1"/>
    <col min="14592" max="14592" width="13.28515625" style="116" customWidth="1"/>
    <col min="14593" max="14593" width="16.140625" style="116" bestFit="1" customWidth="1"/>
    <col min="14594" max="14594" width="23.5703125" style="116" customWidth="1"/>
    <col min="14595" max="14595" width="17.28515625" style="116" customWidth="1"/>
    <col min="14596" max="14596" width="20.5703125" style="116" bestFit="1" customWidth="1"/>
    <col min="14597" max="14597" width="17.140625" style="116" customWidth="1"/>
    <col min="14598" max="14598" width="21.85546875" style="116" bestFit="1" customWidth="1"/>
    <col min="14599" max="14599" width="17.140625" style="116" bestFit="1" customWidth="1"/>
    <col min="14600" max="14600" width="18.140625" style="116" bestFit="1" customWidth="1"/>
    <col min="14601" max="14601" width="26.42578125" style="116" customWidth="1"/>
    <col min="14602" max="14846" width="9.140625" style="116"/>
    <col min="14847" max="14847" width="8.7109375" style="116" bestFit="1" customWidth="1"/>
    <col min="14848" max="14848" width="13.28515625" style="116" customWidth="1"/>
    <col min="14849" max="14849" width="16.140625" style="116" bestFit="1" customWidth="1"/>
    <col min="14850" max="14850" width="23.5703125" style="116" customWidth="1"/>
    <col min="14851" max="14851" width="17.28515625" style="116" customWidth="1"/>
    <col min="14852" max="14852" width="20.5703125" style="116" bestFit="1" customWidth="1"/>
    <col min="14853" max="14853" width="17.140625" style="116" customWidth="1"/>
    <col min="14854" max="14854" width="21.85546875" style="116" bestFit="1" customWidth="1"/>
    <col min="14855" max="14855" width="17.140625" style="116" bestFit="1" customWidth="1"/>
    <col min="14856" max="14856" width="18.140625" style="116" bestFit="1" customWidth="1"/>
    <col min="14857" max="14857" width="26.42578125" style="116" customWidth="1"/>
    <col min="14858" max="15102" width="9.140625" style="116"/>
    <col min="15103" max="15103" width="8.7109375" style="116" bestFit="1" customWidth="1"/>
    <col min="15104" max="15104" width="13.28515625" style="116" customWidth="1"/>
    <col min="15105" max="15105" width="16.140625" style="116" bestFit="1" customWidth="1"/>
    <col min="15106" max="15106" width="23.5703125" style="116" customWidth="1"/>
    <col min="15107" max="15107" width="17.28515625" style="116" customWidth="1"/>
    <col min="15108" max="15108" width="20.5703125" style="116" bestFit="1" customWidth="1"/>
    <col min="15109" max="15109" width="17.140625" style="116" customWidth="1"/>
    <col min="15110" max="15110" width="21.85546875" style="116" bestFit="1" customWidth="1"/>
    <col min="15111" max="15111" width="17.140625" style="116" bestFit="1" customWidth="1"/>
    <col min="15112" max="15112" width="18.140625" style="116" bestFit="1" customWidth="1"/>
    <col min="15113" max="15113" width="26.42578125" style="116" customWidth="1"/>
    <col min="15114" max="15358" width="9.140625" style="116"/>
    <col min="15359" max="15359" width="8.7109375" style="116" bestFit="1" customWidth="1"/>
    <col min="15360" max="15360" width="13.28515625" style="116" customWidth="1"/>
    <col min="15361" max="15361" width="16.140625" style="116" bestFit="1" customWidth="1"/>
    <col min="15362" max="15362" width="23.5703125" style="116" customWidth="1"/>
    <col min="15363" max="15363" width="17.28515625" style="116" customWidth="1"/>
    <col min="15364" max="15364" width="20.5703125" style="116" bestFit="1" customWidth="1"/>
    <col min="15365" max="15365" width="17.140625" style="116" customWidth="1"/>
    <col min="15366" max="15366" width="21.85546875" style="116" bestFit="1" customWidth="1"/>
    <col min="15367" max="15367" width="17.140625" style="116" bestFit="1" customWidth="1"/>
    <col min="15368" max="15368" width="18.140625" style="116" bestFit="1" customWidth="1"/>
    <col min="15369" max="15369" width="26.42578125" style="116" customWidth="1"/>
    <col min="15370" max="15614" width="9.140625" style="116"/>
    <col min="15615" max="15615" width="8.7109375" style="116" bestFit="1" customWidth="1"/>
    <col min="15616" max="15616" width="13.28515625" style="116" customWidth="1"/>
    <col min="15617" max="15617" width="16.140625" style="116" bestFit="1" customWidth="1"/>
    <col min="15618" max="15618" width="23.5703125" style="116" customWidth="1"/>
    <col min="15619" max="15619" width="17.28515625" style="116" customWidth="1"/>
    <col min="15620" max="15620" width="20.5703125" style="116" bestFit="1" customWidth="1"/>
    <col min="15621" max="15621" width="17.140625" style="116" customWidth="1"/>
    <col min="15622" max="15622" width="21.85546875" style="116" bestFit="1" customWidth="1"/>
    <col min="15623" max="15623" width="17.140625" style="116" bestFit="1" customWidth="1"/>
    <col min="15624" max="15624" width="18.140625" style="116" bestFit="1" customWidth="1"/>
    <col min="15625" max="15625" width="26.42578125" style="116" customWidth="1"/>
    <col min="15626" max="15870" width="9.140625" style="116"/>
    <col min="15871" max="15871" width="8.7109375" style="116" bestFit="1" customWidth="1"/>
    <col min="15872" max="15872" width="13.28515625" style="116" customWidth="1"/>
    <col min="15873" max="15873" width="16.140625" style="116" bestFit="1" customWidth="1"/>
    <col min="15874" max="15874" width="23.5703125" style="116" customWidth="1"/>
    <col min="15875" max="15875" width="17.28515625" style="116" customWidth="1"/>
    <col min="15876" max="15876" width="20.5703125" style="116" bestFit="1" customWidth="1"/>
    <col min="15877" max="15877" width="17.140625" style="116" customWidth="1"/>
    <col min="15878" max="15878" width="21.85546875" style="116" bestFit="1" customWidth="1"/>
    <col min="15879" max="15879" width="17.140625" style="116" bestFit="1" customWidth="1"/>
    <col min="15880" max="15880" width="18.140625" style="116" bestFit="1" customWidth="1"/>
    <col min="15881" max="15881" width="26.42578125" style="116" customWidth="1"/>
    <col min="15882" max="16126" width="9.140625" style="116"/>
    <col min="16127" max="16127" width="8.7109375" style="116" bestFit="1" customWidth="1"/>
    <col min="16128" max="16128" width="13.28515625" style="116" customWidth="1"/>
    <col min="16129" max="16129" width="16.140625" style="116" bestFit="1" customWidth="1"/>
    <col min="16130" max="16130" width="23.5703125" style="116" customWidth="1"/>
    <col min="16131" max="16131" width="17.28515625" style="116" customWidth="1"/>
    <col min="16132" max="16132" width="20.5703125" style="116" bestFit="1" customWidth="1"/>
    <col min="16133" max="16133" width="17.140625" style="116" customWidth="1"/>
    <col min="16134" max="16134" width="21.85546875" style="116" bestFit="1" customWidth="1"/>
    <col min="16135" max="16135" width="17.140625" style="116" bestFit="1" customWidth="1"/>
    <col min="16136" max="16136" width="18.140625" style="116" bestFit="1" customWidth="1"/>
    <col min="16137" max="16137" width="26.42578125" style="116" customWidth="1"/>
    <col min="16138" max="16384" width="9.140625" style="116"/>
  </cols>
  <sheetData>
    <row r="1" spans="11:12" s="134" customFormat="1" x14ac:dyDescent="0.2">
      <c r="K1" s="482"/>
      <c r="L1" s="481"/>
    </row>
    <row r="2" spans="11:12" s="134" customFormat="1" x14ac:dyDescent="0.2">
      <c r="K2" s="482"/>
      <c r="L2" s="481"/>
    </row>
    <row r="3" spans="11:12" s="134" customFormat="1" x14ac:dyDescent="0.2">
      <c r="K3" s="482"/>
      <c r="L3" s="481"/>
    </row>
    <row r="4" spans="11:12" s="134" customFormat="1" x14ac:dyDescent="0.2">
      <c r="K4" s="482"/>
      <c r="L4" s="481"/>
    </row>
    <row r="5" spans="11:12" s="134" customFormat="1" x14ac:dyDescent="0.2">
      <c r="K5" s="482"/>
      <c r="L5" s="481"/>
    </row>
    <row r="6" spans="11:12" s="134" customFormat="1" x14ac:dyDescent="0.2">
      <c r="K6" s="482"/>
      <c r="L6" s="481"/>
    </row>
    <row r="7" spans="11:12" s="134" customFormat="1" x14ac:dyDescent="0.2">
      <c r="K7" s="482"/>
      <c r="L7" s="481"/>
    </row>
    <row r="8" spans="11:12" s="134" customFormat="1" x14ac:dyDescent="0.2">
      <c r="K8" s="482"/>
      <c r="L8" s="481"/>
    </row>
    <row r="9" spans="11:12" s="134" customFormat="1" x14ac:dyDescent="0.2">
      <c r="K9" s="482"/>
      <c r="L9" s="481"/>
    </row>
    <row r="10" spans="11:12" s="134" customFormat="1" x14ac:dyDescent="0.2">
      <c r="K10" s="482"/>
      <c r="L10" s="481"/>
    </row>
    <row r="11" spans="11:12" s="134" customFormat="1" x14ac:dyDescent="0.2">
      <c r="K11" s="482"/>
      <c r="L11" s="481"/>
    </row>
    <row r="12" spans="11:12" s="134" customFormat="1" x14ac:dyDescent="0.2">
      <c r="K12" s="482"/>
      <c r="L12" s="481"/>
    </row>
    <row r="13" spans="11:12" s="134" customFormat="1" x14ac:dyDescent="0.2">
      <c r="K13" s="482"/>
      <c r="L13" s="481"/>
    </row>
    <row r="14" spans="11:12" s="134" customFormat="1" x14ac:dyDescent="0.2">
      <c r="K14" s="482"/>
      <c r="L14" s="481"/>
    </row>
    <row r="15" spans="11:12" s="134" customFormat="1" x14ac:dyDescent="0.2">
      <c r="K15" s="482"/>
      <c r="L15" s="481"/>
    </row>
    <row r="16" spans="11:12" s="134" customFormat="1" x14ac:dyDescent="0.2">
      <c r="K16" s="482"/>
      <c r="L16" s="481"/>
    </row>
    <row r="17" spans="1:17" s="134" customFormat="1" x14ac:dyDescent="0.2">
      <c r="K17" s="482"/>
      <c r="L17" s="481"/>
    </row>
    <row r="18" spans="1:17" s="134" customFormat="1" x14ac:dyDescent="0.2">
      <c r="K18" s="482"/>
      <c r="L18" s="481"/>
    </row>
    <row r="19" spans="1:17" s="134" customFormat="1" x14ac:dyDescent="0.2">
      <c r="K19" s="482"/>
      <c r="L19" s="481"/>
    </row>
    <row r="20" spans="1:17" s="134" customFormat="1" x14ac:dyDescent="0.2">
      <c r="K20" s="482"/>
      <c r="L20" s="481"/>
    </row>
    <row r="21" spans="1:17" s="134" customFormat="1" x14ac:dyDescent="0.2">
      <c r="K21" s="482"/>
      <c r="L21" s="481"/>
    </row>
    <row r="22" spans="1:17" s="134" customFormat="1" x14ac:dyDescent="0.2">
      <c r="K22" s="482"/>
      <c r="L22" s="481"/>
    </row>
    <row r="23" spans="1:17" s="134" customFormat="1" x14ac:dyDescent="0.2">
      <c r="K23" s="482"/>
      <c r="L23" s="481"/>
    </row>
    <row r="24" spans="1:17" s="134" customFormat="1" x14ac:dyDescent="0.2">
      <c r="K24" s="482"/>
      <c r="L24" s="481"/>
    </row>
    <row r="25" spans="1:17" s="134" customFormat="1" x14ac:dyDescent="0.2">
      <c r="K25" s="482"/>
      <c r="L25" s="481"/>
    </row>
    <row r="26" spans="1:17" s="134" customFormat="1" x14ac:dyDescent="0.2">
      <c r="K26" s="482"/>
      <c r="L26" s="481"/>
    </row>
    <row r="27" spans="1:17" s="134" customFormat="1" x14ac:dyDescent="0.2">
      <c r="K27" s="482"/>
      <c r="L27" s="481"/>
    </row>
    <row r="28" spans="1:17" s="134" customFormat="1" ht="24.75" customHeight="1" x14ac:dyDescent="0.25">
      <c r="A28" s="508" t="str">
        <f>CHOOSE(MODE, 'Variable Mgmt'!K11,'Variable Mgmt'!K12)</f>
        <v>SINGLE Output PSR Flyback Converter, VIN = 12 V, VOUT = 24 V, IOUT = 0.11 A</v>
      </c>
      <c r="K28" s="481"/>
      <c r="L28" s="481"/>
    </row>
    <row r="29" spans="1:17" ht="24.75" customHeight="1" thickBot="1" x14ac:dyDescent="0.25">
      <c r="A29" s="117" t="s">
        <v>539</v>
      </c>
    </row>
    <row r="30" spans="1:17" ht="18" customHeight="1" x14ac:dyDescent="0.2">
      <c r="A30" s="208" t="s">
        <v>123</v>
      </c>
      <c r="B30" s="209" t="s">
        <v>122</v>
      </c>
      <c r="C30" s="209" t="s">
        <v>6</v>
      </c>
      <c r="D30" s="667" t="s">
        <v>41</v>
      </c>
      <c r="E30" s="668"/>
      <c r="F30" s="669"/>
      <c r="G30" s="209" t="s">
        <v>116</v>
      </c>
      <c r="H30" s="209" t="s">
        <v>67</v>
      </c>
      <c r="I30" s="500" t="s">
        <v>117</v>
      </c>
      <c r="J30" s="501" t="s">
        <v>350</v>
      </c>
      <c r="K30" s="502" t="s">
        <v>359</v>
      </c>
      <c r="L30" s="475"/>
      <c r="N30" s="119"/>
      <c r="Q30" s="507"/>
    </row>
    <row r="31" spans="1:17" s="119" customFormat="1" ht="17.100000000000001" customHeight="1" x14ac:dyDescent="0.2">
      <c r="A31" s="118">
        <f>ROUNDUP('Design Converter'!E17/10,0)</f>
        <v>3</v>
      </c>
      <c r="B31" s="130" t="s">
        <v>120</v>
      </c>
      <c r="C31" s="133">
        <f>Cin</f>
        <v>22</v>
      </c>
      <c r="D31" s="665" t="str">
        <f>IF(VIN_max&gt;35, "Capacitor, Ceramic, "&amp;'Variable Mgmt'!B218&amp;", 100V, X7R, 10%", "Capacitor, Ceramic, "&amp;'Variable Mgmt'!B218&amp;", 50V, X7R, 10%")</f>
        <v>Capacitor, Ceramic, 22µF, 50V, X7R, 10%</v>
      </c>
      <c r="E31" s="666"/>
      <c r="F31" s="666"/>
      <c r="G31" s="131"/>
      <c r="H31" s="132" t="s">
        <v>118</v>
      </c>
      <c r="I31" s="487" t="s">
        <v>118</v>
      </c>
      <c r="J31" s="496" t="str">
        <f>CHOOSE(Q31,'Variable Mgmt'!T56,'Variable Mgmt'!T57,'Variable Mgmt'!T58,'Variable Mgmt'!T59,'Variable Mgmt'!T60)</f>
        <v>3.2 x 2.5</v>
      </c>
      <c r="K31" s="494">
        <f>CHOOSE(Q31,'Variable Mgmt'!U56,'Variable Mgmt'!U57,'Variable Mgmt'!U58,'Variable Mgmt'!U59,'Variable Mgmt'!U60)</f>
        <v>8</v>
      </c>
      <c r="L31" s="499"/>
      <c r="Q31" s="505">
        <v>5</v>
      </c>
    </row>
    <row r="32" spans="1:17" s="119" customFormat="1" ht="17.100000000000001" customHeight="1" x14ac:dyDescent="0.2">
      <c r="A32" s="118">
        <v>1</v>
      </c>
      <c r="B32" s="130" t="s">
        <v>121</v>
      </c>
      <c r="C32" s="133">
        <f>Cout</f>
        <v>100</v>
      </c>
      <c r="D32" s="681" t="str">
        <f>CHOOSE(Cout_Voltage_Rating, "Capacitor, Ceramic, "&amp;'Variable Mgmt'!B213&amp;", 6.3V, X7R, 10%", "Capacitor, Ceramic, "&amp;'Variable Mgmt'!B213&amp;", 10V, X7R, 10%", "Capacitor, Ceramic, "&amp;'Variable Mgmt'!B213&amp;", 16V, X7R, 10%", "Capacitor, Ceramic, "&amp;'Variable Mgmt'!B213&amp;", 25V, X7R, 10%",  "Capacitor, Ceramic, "&amp;'Variable Mgmt'!B213&amp;", 50V, X7R, 10%")</f>
        <v>Capacitor, Ceramic, 100µF, 50V, X7R, 10%</v>
      </c>
      <c r="E32" s="682"/>
      <c r="F32" s="682"/>
      <c r="G32" s="131"/>
      <c r="H32" s="132" t="s">
        <v>118</v>
      </c>
      <c r="I32" s="487" t="s">
        <v>118</v>
      </c>
      <c r="J32" s="496" t="str">
        <f>CHOOSE(Q32,'Variable Mgmt'!T56,'Variable Mgmt'!T57,'Variable Mgmt'!T58,'Variable Mgmt'!T59,'Variable Mgmt'!T60)</f>
        <v>3.2 x 2.5</v>
      </c>
      <c r="K32" s="494">
        <f>CHOOSE(Q32,'Variable Mgmt'!U56,'Variable Mgmt'!U57,'Variable Mgmt'!U58,'Variable Mgmt'!U59,'Variable Mgmt'!U60)</f>
        <v>8</v>
      </c>
      <c r="L32" s="499"/>
      <c r="Q32" s="506">
        <v>5</v>
      </c>
    </row>
    <row r="33" spans="1:17" s="119" customFormat="1" ht="17.100000000000001" customHeight="1" x14ac:dyDescent="0.2">
      <c r="A33" s="118" t="str">
        <f>CHOOSE(MODE, "-", "1")</f>
        <v>-</v>
      </c>
      <c r="B33" s="130" t="s">
        <v>644</v>
      </c>
      <c r="C33" s="133" t="str">
        <f>CHOOSE(MODE, "-", Cout2)</f>
        <v>-</v>
      </c>
      <c r="D33" s="620" t="str">
        <f>CHOOSE(MODE, "-", CHOOSE(Cout_Voltage_Rating, "Capacitor, Ceramic, "&amp;'Variable Mgmt'!F213&amp;", 6.3V, X7R, 10%", "Capacitor, Ceramic, "&amp;'Variable Mgmt'!F213&amp;", 10V, X7R, 10%", "Capacitor, Ceramic, "&amp;'Variable Mgmt'!F213&amp;", 16V, X7R, 10%", "Capacitor, Ceramic, "&amp;'Variable Mgmt'!F213&amp;", 25V, X7R, 10%",  "Capacitor, Ceramic, "&amp;'Variable Mgmt'!F213&amp;", 50V, X7R, 10%"))</f>
        <v>-</v>
      </c>
      <c r="E33" s="621"/>
      <c r="F33" s="621"/>
      <c r="G33" s="131"/>
      <c r="H33" s="132" t="str">
        <f>CHOOSE(MODE, "-", "Std")</f>
        <v>-</v>
      </c>
      <c r="I33" s="487" t="str">
        <f>CHOOSE(MODE, "-", "Std")</f>
        <v>-</v>
      </c>
      <c r="J33" s="496" t="str">
        <f>CHOOSE(MODE, "-", CHOOSE(Q33,'Variable Mgmt'!T56,'Variable Mgmt'!T57,'Variable Mgmt'!T58,'Variable Mgmt'!T59,'Variable Mgmt'!T60))</f>
        <v>-</v>
      </c>
      <c r="K33" s="494" t="str">
        <f>CHOOSE(MODE, "-", CHOOSE(Q33,'Variable Mgmt'!U56,'Variable Mgmt'!U57,'Variable Mgmt'!U58,'Variable Mgmt'!U59,'Variable Mgmt'!U60))</f>
        <v>-</v>
      </c>
      <c r="L33" s="499"/>
      <c r="Q33" s="506">
        <v>5</v>
      </c>
    </row>
    <row r="34" spans="1:17" s="119" customFormat="1" ht="17.100000000000001" customHeight="1" x14ac:dyDescent="0.2">
      <c r="A34" s="120" t="str">
        <f>CHOOSE(MODE_SS, "1", "-", "1")</f>
        <v>1</v>
      </c>
      <c r="B34" s="121" t="str">
        <f>CHOOSE(MODE_SS, "Css", "-")</f>
        <v>Css</v>
      </c>
      <c r="C34" s="647" t="str">
        <f>CHOOSE(MODE_SS, 'Standard Value Calculator'!B4*1000000000&amp;"nF", "-", "100k")</f>
        <v>39nF</v>
      </c>
      <c r="D34" s="683" t="str">
        <f>CHOOSE(MODE_SS, "Capacitor, Ceramic, "&amp;'Standard Value Calculator'!B4*1000000000&amp;"nF"&amp;", 16V, X7R, 10%", "-")</f>
        <v>Capacitor, Ceramic, 39nF, 16V, X7R, 10%</v>
      </c>
      <c r="E34" s="684"/>
      <c r="F34" s="684"/>
      <c r="G34" s="123" t="s">
        <v>119</v>
      </c>
      <c r="H34" s="124" t="str">
        <f>CHOOSE(MODE_SS, "Std", "-")</f>
        <v>Std</v>
      </c>
      <c r="I34" s="488" t="str">
        <f>CHOOSE(MODE_SS, "Std", "-")</f>
        <v>Std</v>
      </c>
      <c r="J34" s="496" t="str">
        <f>CHOOSE(MODE_SS,CHOOSE(Q34,'Variable Mgmt'!T56,'Variable Mgmt'!T57,'Variable Mgmt'!T58),"-",CHOOSE(Q34,'Variable Mgmt'!T56,'Variable Mgmt'!T57,'Variable Mgmt'!T58))</f>
        <v>1.0 x 0.5</v>
      </c>
      <c r="K34" s="494">
        <f>CHOOSE(MODE_SS, CHOOSE(Q34,'Variable Mgmt'!U56,'Variable Mgmt'!U57,'Variable Mgmt'!U58), "-", CHOOSE(Q34,'Variable Mgmt'!U56,'Variable Mgmt'!U57,'Variable Mgmt'!U58))</f>
        <v>0.5</v>
      </c>
      <c r="L34" s="499"/>
      <c r="Q34" s="506">
        <v>1</v>
      </c>
    </row>
    <row r="35" spans="1:17" s="119" customFormat="1" ht="17.100000000000001" customHeight="1" x14ac:dyDescent="0.2">
      <c r="A35" s="125">
        <v>1</v>
      </c>
      <c r="B35" s="126" t="s">
        <v>646</v>
      </c>
      <c r="C35" s="127" t="s">
        <v>194</v>
      </c>
      <c r="D35" s="674" t="str">
        <f>"Rectifying Diode, Schottky"</f>
        <v>Rectifying Diode, Schottky</v>
      </c>
      <c r="E35" s="675"/>
      <c r="F35" s="675"/>
      <c r="G35" s="128" t="e">
        <f>CHOOSE(SHORT_ILIM, "-", "0603")</f>
        <v>#NAME?</v>
      </c>
      <c r="H35" s="129" t="s">
        <v>118</v>
      </c>
      <c r="I35" s="489" t="s">
        <v>118</v>
      </c>
      <c r="J35" s="640" t="str">
        <f>CHOOSE(Q35,'Variable Mgmt'!Y65,'Variable Mgmt'!Y66,'Variable Mgmt'!Y67,'Variable Mgmt'!Y68)</f>
        <v>3.6 x 1.8</v>
      </c>
      <c r="K35" s="641">
        <f>CHOOSE(Q35,'Variable Mgmt'!Z65,'Variable Mgmt'!Z66,'Variable Mgmt'!Z67,'Variable Mgmt'!Z68)</f>
        <v>6.5</v>
      </c>
      <c r="L35" s="499"/>
      <c r="Q35" s="506">
        <v>3</v>
      </c>
    </row>
    <row r="36" spans="1:17" s="119" customFormat="1" ht="17.100000000000001" customHeight="1" x14ac:dyDescent="0.2">
      <c r="A36" s="125" t="str">
        <f>CHOOSE(MODE, "-", "1")</f>
        <v>-</v>
      </c>
      <c r="B36" s="126" t="s">
        <v>645</v>
      </c>
      <c r="C36" s="127" t="str">
        <f>CHOOSE(MODE, "-", "Diode")</f>
        <v>-</v>
      </c>
      <c r="D36" s="672" t="str">
        <f>CHOOSE(MODE, "-", "Rectifying Diode, Schottky")</f>
        <v>-</v>
      </c>
      <c r="E36" s="673"/>
      <c r="F36" s="673"/>
      <c r="G36" s="128" t="s">
        <v>119</v>
      </c>
      <c r="H36" s="129" t="str">
        <f>CHOOSE(MODE, "-", "Std")</f>
        <v>-</v>
      </c>
      <c r="I36" s="489" t="str">
        <f>CHOOSE(MODE, "-", "Std")</f>
        <v>-</v>
      </c>
      <c r="J36" s="640" t="str">
        <f>CHOOSE(MODE, "-", CHOOSE(Q36,'Variable Mgmt'!Y65,'Variable Mgmt'!Y66,'Variable Mgmt'!Y67,'Variable Mgmt'!Y68))</f>
        <v>-</v>
      </c>
      <c r="K36" s="641" t="str">
        <f>CHOOSE(MODE, "-", CHOOSE(Q36,'Variable Mgmt'!Z65,'Variable Mgmt'!Z66,'Variable Mgmt'!Z67,'Variable Mgmt'!Z68))</f>
        <v>-</v>
      </c>
      <c r="L36" s="499"/>
      <c r="Q36" s="506">
        <v>3</v>
      </c>
    </row>
    <row r="37" spans="1:17" s="119" customFormat="1" ht="17.100000000000001" customHeight="1" x14ac:dyDescent="0.2">
      <c r="A37" s="125">
        <v>1</v>
      </c>
      <c r="B37" s="126" t="s">
        <v>647</v>
      </c>
      <c r="C37" s="127" t="str">
        <f>"Diode"</f>
        <v>Diode</v>
      </c>
      <c r="D37" s="645" t="str">
        <f>"Clamp Circuit Diode, Fast Recovery"</f>
        <v>Clamp Circuit Diode, Fast Recovery</v>
      </c>
      <c r="E37" s="646"/>
      <c r="F37" s="646"/>
      <c r="G37" s="128"/>
      <c r="H37" s="129" t="s">
        <v>118</v>
      </c>
      <c r="I37" s="489" t="s">
        <v>118</v>
      </c>
      <c r="J37" s="640" t="str">
        <f>CHOOSE(Q37,'Variable Mgmt'!Y65,'Variable Mgmt'!Y66,'Variable Mgmt'!Y67,'Variable Mgmt'!Y68)</f>
        <v>2.5 x 1.25</v>
      </c>
      <c r="K37" s="641">
        <f>CHOOSE(Q37,'Variable Mgmt'!Z65,'Variable Mgmt'!Z66,'Variable Mgmt'!Z67,'Variable Mgmt'!Z68)</f>
        <v>3.2</v>
      </c>
      <c r="L37" s="499"/>
      <c r="Q37" s="506">
        <v>2</v>
      </c>
    </row>
    <row r="38" spans="1:17" s="119" customFormat="1" ht="17.100000000000001" customHeight="1" x14ac:dyDescent="0.2">
      <c r="A38" s="125">
        <v>1</v>
      </c>
      <c r="B38" s="126" t="s">
        <v>642</v>
      </c>
      <c r="C38" s="127" t="s">
        <v>643</v>
      </c>
      <c r="D38" s="672" t="str">
        <f>"Clamp Circuit Diode, Zener, 24V"</f>
        <v>Clamp Circuit Diode, Zener, 24V</v>
      </c>
      <c r="E38" s="673"/>
      <c r="F38" s="673"/>
      <c r="G38" s="128" t="s">
        <v>119</v>
      </c>
      <c r="H38" s="129" t="s">
        <v>118</v>
      </c>
      <c r="I38" s="489" t="s">
        <v>118</v>
      </c>
      <c r="J38" s="640" t="str">
        <f>CHOOSE(Q38,'Variable Mgmt'!T56,'Variable Mgmt'!T57,'Variable Mgmt'!T58)</f>
        <v>2.0 x 1.25</v>
      </c>
      <c r="K38" s="641">
        <f>CHOOSE(Q38,'Variable Mgmt'!Z65,'Variable Mgmt'!Z66,'Variable Mgmt'!Z67,'Variable Mgmt'!Z68)</f>
        <v>6.5</v>
      </c>
      <c r="L38" s="499"/>
      <c r="Q38" s="506">
        <v>3</v>
      </c>
    </row>
    <row r="39" spans="1:17" s="119" customFormat="1" ht="17.100000000000001" customHeight="1" x14ac:dyDescent="0.2">
      <c r="A39" s="125">
        <v>1</v>
      </c>
      <c r="B39" s="126" t="s">
        <v>657</v>
      </c>
      <c r="C39" s="127" t="str">
        <f>Vout*1.1&amp;"V"</f>
        <v>26.4V</v>
      </c>
      <c r="D39" s="645" t="str">
        <f>"Output Clamp Diode, Zener, "&amp;ROUND(Vout*1.125,0)&amp;"V"</f>
        <v>Output Clamp Diode, Zener, 27V</v>
      </c>
      <c r="E39" s="646"/>
      <c r="F39" s="646"/>
      <c r="G39" s="128"/>
      <c r="H39" s="129" t="s">
        <v>118</v>
      </c>
      <c r="I39" s="489" t="s">
        <v>118</v>
      </c>
      <c r="J39" s="640" t="str">
        <f>CHOOSE(Q39,'Variable Mgmt'!T56,'Variable Mgmt'!T57,'Variable Mgmt'!T58)</f>
        <v>1.0 x 0.5</v>
      </c>
      <c r="K39" s="641">
        <f>CHOOSE(Q39,'Variable Mgmt'!Z65,'Variable Mgmt'!Z66,'Variable Mgmt'!Z67,'Variable Mgmt'!Z68)</f>
        <v>1.3</v>
      </c>
      <c r="L39" s="499"/>
      <c r="Q39" s="506">
        <v>1</v>
      </c>
    </row>
    <row r="40" spans="1:17" s="119" customFormat="1" ht="17.100000000000001" customHeight="1" x14ac:dyDescent="0.2">
      <c r="A40" s="120">
        <v>1</v>
      </c>
      <c r="B40" s="121" t="s">
        <v>648</v>
      </c>
      <c r="C40" s="122">
        <v>12.1</v>
      </c>
      <c r="D40" s="670">
        <f t="shared" ref="D40" si="0">C40</f>
        <v>12.1</v>
      </c>
      <c r="E40" s="671"/>
      <c r="F40" s="671"/>
      <c r="G40" s="123" t="s">
        <v>119</v>
      </c>
      <c r="H40" s="124" t="s">
        <v>118</v>
      </c>
      <c r="I40" s="488" t="s">
        <v>118</v>
      </c>
      <c r="J40" s="496" t="str">
        <f>CHOOSE(Q40,'Variable Mgmt'!T56,'Variable Mgmt'!T57,'Variable Mgmt'!T58)</f>
        <v>1.0 x 0.5</v>
      </c>
      <c r="K40" s="494">
        <f>CHOOSE(Q40,'Variable Mgmt'!U56,'Variable Mgmt'!U57,'Variable Mgmt'!U58,'Variable Mgmt'!U59,'Variable Mgmt'!U60)</f>
        <v>0.5</v>
      </c>
      <c r="L40" s="499"/>
      <c r="Q40" s="506">
        <v>1</v>
      </c>
    </row>
    <row r="41" spans="1:17" s="119" customFormat="1" ht="17.100000000000001" customHeight="1" x14ac:dyDescent="0.2">
      <c r="A41" s="120">
        <v>1</v>
      </c>
      <c r="B41" s="121" t="s">
        <v>541</v>
      </c>
      <c r="C41" s="122">
        <f>Rfb/1000</f>
        <v>727.5</v>
      </c>
      <c r="D41" s="670">
        <f>C41</f>
        <v>727.5</v>
      </c>
      <c r="E41" s="671"/>
      <c r="F41" s="671"/>
      <c r="G41" s="123" t="s">
        <v>119</v>
      </c>
      <c r="H41" s="124" t="s">
        <v>118</v>
      </c>
      <c r="I41" s="488" t="s">
        <v>118</v>
      </c>
      <c r="J41" s="496" t="str">
        <f>CHOOSE(Q41,'Variable Mgmt'!T56,'Variable Mgmt'!T57,'Variable Mgmt'!T58)</f>
        <v>1.0 x 0.5</v>
      </c>
      <c r="K41" s="494">
        <f>CHOOSE(Q41,'Variable Mgmt'!U56,'Variable Mgmt'!U57,'Variable Mgmt'!U58,'Variable Mgmt'!U59,'Variable Mgmt'!U60)</f>
        <v>0.5</v>
      </c>
      <c r="L41" s="499"/>
      <c r="Q41" s="506">
        <v>1</v>
      </c>
    </row>
    <row r="42" spans="1:17" s="119" customFormat="1" ht="17.100000000000001" customHeight="1" x14ac:dyDescent="0.2">
      <c r="A42" s="120" t="str">
        <f>CHOOSE(MODE_UVLO, "1", "-")</f>
        <v>1</v>
      </c>
      <c r="B42" s="121" t="s">
        <v>126</v>
      </c>
      <c r="C42" s="467" t="str">
        <f>CHOOSE(MODE_UVLO, 'Variable Mgmt'!H237, "-")</f>
        <v>169k</v>
      </c>
      <c r="D42" s="679" t="str">
        <f>CHOOSE(MODE_UVLO, "Resistor, Chip, "&amp;'Variable Mgmt'!C237&amp;", 1/16W, 1%", "-")</f>
        <v>Resistor, Chip, 169kΩ, 1/16W, 1%</v>
      </c>
      <c r="E42" s="680"/>
      <c r="F42" s="680"/>
      <c r="G42" s="123" t="s">
        <v>119</v>
      </c>
      <c r="H42" s="124" t="str">
        <f t="shared" ref="H42:I43" si="1">CHOOSE(MODE_UVLO, "Std", "-")</f>
        <v>Std</v>
      </c>
      <c r="I42" s="488" t="str">
        <f t="shared" si="1"/>
        <v>Std</v>
      </c>
      <c r="J42" s="496" t="str">
        <f>CHOOSE(MODE_UVLO, CHOOSE(Q42,'Variable Mgmt'!T56,'Variable Mgmt'!T57,'Variable Mgmt'!T58), "-")</f>
        <v>1.0 x 0.5</v>
      </c>
      <c r="K42" s="494">
        <f>CHOOSE(MODE_UVLO, CHOOSE(Q42,'Variable Mgmt'!U56,'Variable Mgmt'!U57,'Variable Mgmt'!U58,'Variable Mgmt'!U59,'Variable Mgmt'!U60),"-")</f>
        <v>0.5</v>
      </c>
      <c r="L42" s="499"/>
      <c r="Q42" s="506">
        <v>1</v>
      </c>
    </row>
    <row r="43" spans="1:17" s="119" customFormat="1" ht="17.100000000000001" customHeight="1" x14ac:dyDescent="0.2">
      <c r="A43" s="120" t="str">
        <f>CHOOSE(MODE_UVLO, "1", "-")</f>
        <v>1</v>
      </c>
      <c r="B43" s="121" t="s">
        <v>127</v>
      </c>
      <c r="C43" s="467" t="str">
        <f>CHOOSE(MODE_UVLO, 'Variable Mgmt'!H238, "-")</f>
        <v>84.5k</v>
      </c>
      <c r="D43" s="679" t="str">
        <f>CHOOSE(MODE_UVLO, "Resistor, Chip, "&amp;'Variable Mgmt'!C238&amp;", 1/16W, 1%", "-")</f>
        <v>Resistor, Chip, 84.5kΩ, 1/16W, 1%</v>
      </c>
      <c r="E43" s="680"/>
      <c r="F43" s="680"/>
      <c r="G43" s="123" t="s">
        <v>119</v>
      </c>
      <c r="H43" s="124" t="str">
        <f t="shared" si="1"/>
        <v>Std</v>
      </c>
      <c r="I43" s="488" t="str">
        <f t="shared" si="1"/>
        <v>Std</v>
      </c>
      <c r="J43" s="496" t="str">
        <f>CHOOSE(MODE_UVLO, CHOOSE(Q43,'Variable Mgmt'!T56,'Variable Mgmt'!T57,'Variable Mgmt'!T58), "-")</f>
        <v>1.0 x 0.5</v>
      </c>
      <c r="K43" s="494">
        <f>CHOOSE(MODE_UVLO, CHOOSE(Q43,'Variable Mgmt'!U56,'Variable Mgmt'!U57,'Variable Mgmt'!U58,'Variable Mgmt'!U59,'Variable Mgmt'!U60),"-")</f>
        <v>0.5</v>
      </c>
      <c r="L43" s="499"/>
      <c r="Q43" s="506">
        <v>1</v>
      </c>
    </row>
    <row r="44" spans="1:17" s="119" customFormat="1" ht="17.100000000000001" customHeight="1" x14ac:dyDescent="0.2">
      <c r="A44" s="120" t="str">
        <f>CHOOSE(MODE_TC, "1", "-")</f>
        <v>1</v>
      </c>
      <c r="B44" s="121" t="s">
        <v>531</v>
      </c>
      <c r="C44" s="122">
        <f>CHOOSE(MODE_TC, RTC, "-")</f>
        <v>1820</v>
      </c>
      <c r="D44" s="670" t="str">
        <f>CHOOSE(MODE_TC, "Resistor, Chip, "&amp;'Variable Mgmt'!B233&amp;", 1/16W, 1%", "-")</f>
        <v>Resistor, Chip, 1820kΩ, 1/16W, 1%</v>
      </c>
      <c r="E44" s="671"/>
      <c r="F44" s="671"/>
      <c r="G44" s="123" t="s">
        <v>119</v>
      </c>
      <c r="H44" s="124" t="str">
        <f>CHOOSE(MODE_TC, "Std", "-")</f>
        <v>Std</v>
      </c>
      <c r="I44" s="488" t="str">
        <f>CHOOSE(MODE_TC, "Std", "-")</f>
        <v>Std</v>
      </c>
      <c r="J44" s="496" t="str">
        <f>CHOOSE(MODE_TC, CHOOSE(Q44,'Variable Mgmt'!T56,'Variable Mgmt'!T377,'Variable Mgmt'!T58), "-")</f>
        <v>1.0 x 0.5</v>
      </c>
      <c r="K44" s="494">
        <f>CHOOSE(MODE_TC, CHOOSE(Q44,'Variable Mgmt'!U56,'Variable Mgmt'!U57,'Variable Mgmt'!U58,'Variable Mgmt'!U59,'Variable Mgmt'!U60),"-")</f>
        <v>0.5</v>
      </c>
      <c r="L44" s="499"/>
      <c r="Q44" s="506">
        <v>1</v>
      </c>
    </row>
    <row r="45" spans="1:17" s="643" customFormat="1" ht="16.5" customHeight="1" x14ac:dyDescent="0.2">
      <c r="A45" s="125">
        <v>1</v>
      </c>
      <c r="B45" s="126" t="s">
        <v>540</v>
      </c>
      <c r="C45" s="639">
        <f>'Design Converter'!L7</f>
        <v>47</v>
      </c>
      <c r="D45" s="676" t="str">
        <f>"Transformer, "&amp;L*1000000&amp;"µH, "&amp;'Variable Mgmt'!W44&amp;", "&amp;Rdcr_pri*1000&amp;"mΩ Pri DCR, "&amp;"2A Sat"</f>
        <v>Transformer, 47µH, 1 : 1, 200mΩ Pri DCR, 2A Sat</v>
      </c>
      <c r="E45" s="677"/>
      <c r="F45" s="678"/>
      <c r="G45" s="129" t="s">
        <v>125</v>
      </c>
      <c r="H45" s="129" t="s">
        <v>124</v>
      </c>
      <c r="I45" s="489" t="s">
        <v>124</v>
      </c>
      <c r="J45" s="640" t="str">
        <f>CHOOSE(Q45,'Variable Mgmt'!T65,'Variable Mgmt'!T66,'Variable Mgmt'!T67,'Variable Mgmt'!T68,'Variable Mgmt'!T69,'Variable Mgmt'!T70,'Variable Mgmt'!T71)</f>
        <v>10 x 10</v>
      </c>
      <c r="K45" s="648">
        <f>CHOOSE(Q45,'Variable Mgmt'!U65,'Variable Mgmt'!U66,'Variable Mgmt'!U67,'Variable Mgmt'!U68,'Variable Mgmt'!U69,'Variable Mgmt'!U70,'Variable Mgmt'!U71)</f>
        <v>100</v>
      </c>
      <c r="L45" s="642"/>
      <c r="Q45" s="644">
        <v>5</v>
      </c>
    </row>
    <row r="46" spans="1:17" ht="17.100000000000001" customHeight="1" x14ac:dyDescent="0.2">
      <c r="A46" s="471">
        <v>1</v>
      </c>
      <c r="B46" s="477" t="s">
        <v>128</v>
      </c>
      <c r="C46" s="498" t="s">
        <v>703</v>
      </c>
      <c r="D46" s="478" t="s">
        <v>709</v>
      </c>
      <c r="E46" s="479"/>
      <c r="F46" s="480"/>
      <c r="G46" s="476" t="s">
        <v>538</v>
      </c>
      <c r="H46" s="476" t="s">
        <v>703</v>
      </c>
      <c r="I46" s="478" t="s">
        <v>360</v>
      </c>
      <c r="J46" s="497" t="s">
        <v>358</v>
      </c>
      <c r="K46" s="495">
        <v>16</v>
      </c>
      <c r="L46" s="475"/>
      <c r="M46" s="475"/>
      <c r="N46" s="119"/>
      <c r="Q46" s="509"/>
    </row>
    <row r="47" spans="1:17" ht="17.100000000000001" customHeight="1" x14ac:dyDescent="0.2">
      <c r="J47" s="119"/>
      <c r="K47" s="485"/>
      <c r="L47" s="475"/>
      <c r="M47" s="475"/>
      <c r="N47" s="119"/>
    </row>
    <row r="48" spans="1:17" ht="17.25" customHeight="1" x14ac:dyDescent="0.25">
      <c r="H48" s="1" t="s">
        <v>362</v>
      </c>
      <c r="I48" s="1"/>
      <c r="J48" s="1"/>
      <c r="K48" s="503">
        <f>SUM(K31:K46)*1.25</f>
        <v>190.625</v>
      </c>
      <c r="L48" s="510" t="s">
        <v>364</v>
      </c>
      <c r="M48" s="504">
        <f>K48/25.4/25.4</f>
        <v>0.29546934093868193</v>
      </c>
      <c r="N48" s="510" t="s">
        <v>361</v>
      </c>
    </row>
    <row r="49" spans="1:14" ht="17.100000000000001" customHeight="1" x14ac:dyDescent="0.25">
      <c r="J49" s="490"/>
      <c r="K49" s="491"/>
      <c r="L49" s="492"/>
      <c r="M49" s="493"/>
      <c r="N49" s="492"/>
    </row>
    <row r="50" spans="1:14" ht="20.25" customHeight="1" x14ac:dyDescent="0.2">
      <c r="A50" s="484" t="s">
        <v>137</v>
      </c>
    </row>
    <row r="51" spans="1:14" x14ac:dyDescent="0.2">
      <c r="A51" s="116" t="s">
        <v>704</v>
      </c>
    </row>
    <row r="52" spans="1:14" x14ac:dyDescent="0.2">
      <c r="A52" s="116" t="s">
        <v>363</v>
      </c>
      <c r="K52" s="483"/>
    </row>
    <row r="53" spans="1:14" x14ac:dyDescent="0.2">
      <c r="A53" s="116" t="s">
        <v>649</v>
      </c>
    </row>
    <row r="54" spans="1:14" x14ac:dyDescent="0.2">
      <c r="A54" s="116" t="s">
        <v>650</v>
      </c>
    </row>
    <row r="55" spans="1:14" x14ac:dyDescent="0.2">
      <c r="A55" s="116" t="s">
        <v>664</v>
      </c>
    </row>
  </sheetData>
  <sheetProtection password="CCC8" sheet="1" objects="1" scenarios="1" selectLockedCells="1" selectUnlockedCells="1"/>
  <mergeCells count="14">
    <mergeCell ref="H48:J48"/>
    <mergeCell ref="D31:F31"/>
    <mergeCell ref="D30:F30"/>
    <mergeCell ref="D40:F40"/>
    <mergeCell ref="D41:F41"/>
    <mergeCell ref="D38:F38"/>
    <mergeCell ref="D36:F36"/>
    <mergeCell ref="D35:F35"/>
    <mergeCell ref="D45:F45"/>
    <mergeCell ref="D42:F42"/>
    <mergeCell ref="D43:F43"/>
    <mergeCell ref="D44:F44"/>
    <mergeCell ref="D32:F32"/>
    <mergeCell ref="D34:F34"/>
  </mergeCells>
  <printOptions horizontalCentered="1"/>
  <pageMargins left="0.23" right="0.23" top="0.7" bottom="0.61" header="0.3" footer="0.5"/>
  <pageSetup scale="84" fitToHeight="2" orientation="landscape" r:id="rId1"/>
  <headerFooter alignWithMargins="0"/>
  <rowBreaks count="1" manualBreakCount="1">
    <brk id="27" max="9" man="1"/>
  </rowBreaks>
  <ignoredErrors>
    <ignoredError sqref="G34 G36 G38 G42:G43 G40" numberStoredAsText="1"/>
    <ignoredError sqref="J36:K3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74505" r:id="rId4" name="Drop Down 713">
              <controlPr defaultSize="0" autoLine="0" autoPict="0">
                <anchor moveWithCells="1">
                  <from>
                    <xdr:col>6</xdr:col>
                    <xdr:colOff>0</xdr:colOff>
                    <xdr:row>30</xdr:row>
                    <xdr:rowOff>9525</xdr:rowOff>
                  </from>
                  <to>
                    <xdr:col>6</xdr:col>
                    <xdr:colOff>876300</xdr:colOff>
                    <xdr:row>31</xdr:row>
                    <xdr:rowOff>0</xdr:rowOff>
                  </to>
                </anchor>
              </controlPr>
            </control>
          </mc:Choice>
        </mc:AlternateContent>
        <mc:AlternateContent xmlns:mc="http://schemas.openxmlformats.org/markup-compatibility/2006">
          <mc:Choice Requires="x14">
            <control shapeId="674508" r:id="rId5" name="Drop Down 716">
              <controlPr defaultSize="0" autoLine="0" autoPict="0">
                <anchor moveWithCells="1">
                  <from>
                    <xdr:col>6</xdr:col>
                    <xdr:colOff>0</xdr:colOff>
                    <xdr:row>31</xdr:row>
                    <xdr:rowOff>9525</xdr:rowOff>
                  </from>
                  <to>
                    <xdr:col>6</xdr:col>
                    <xdr:colOff>876300</xdr:colOff>
                    <xdr:row>32</xdr:row>
                    <xdr:rowOff>0</xdr:rowOff>
                  </to>
                </anchor>
              </controlPr>
            </control>
          </mc:Choice>
        </mc:AlternateContent>
        <mc:AlternateContent xmlns:mc="http://schemas.openxmlformats.org/markup-compatibility/2006">
          <mc:Choice Requires="x14">
            <control shapeId="674527" r:id="rId6" name="Drop Down 735">
              <controlPr defaultSize="0" autoLine="0" autoPict="0">
                <anchor moveWithCells="1">
                  <from>
                    <xdr:col>6</xdr:col>
                    <xdr:colOff>0</xdr:colOff>
                    <xdr:row>35</xdr:row>
                    <xdr:rowOff>9525</xdr:rowOff>
                  </from>
                  <to>
                    <xdr:col>6</xdr:col>
                    <xdr:colOff>876300</xdr:colOff>
                    <xdr:row>36</xdr:row>
                    <xdr:rowOff>0</xdr:rowOff>
                  </to>
                </anchor>
              </controlPr>
            </control>
          </mc:Choice>
        </mc:AlternateContent>
        <mc:AlternateContent xmlns:mc="http://schemas.openxmlformats.org/markup-compatibility/2006">
          <mc:Choice Requires="x14">
            <control shapeId="674534" r:id="rId7" name="Drop Down 742">
              <controlPr defaultSize="0" autoLine="0" autoPict="0">
                <anchor moveWithCells="1">
                  <from>
                    <xdr:col>6</xdr:col>
                    <xdr:colOff>0</xdr:colOff>
                    <xdr:row>40</xdr:row>
                    <xdr:rowOff>9525</xdr:rowOff>
                  </from>
                  <to>
                    <xdr:col>6</xdr:col>
                    <xdr:colOff>876300</xdr:colOff>
                    <xdr:row>41</xdr:row>
                    <xdr:rowOff>0</xdr:rowOff>
                  </to>
                </anchor>
              </controlPr>
            </control>
          </mc:Choice>
        </mc:AlternateContent>
        <mc:AlternateContent xmlns:mc="http://schemas.openxmlformats.org/markup-compatibility/2006">
          <mc:Choice Requires="x14">
            <control shapeId="674536" r:id="rId8" name="Drop Down 744">
              <controlPr defaultSize="0" autoLine="0" autoPict="0">
                <anchor moveWithCells="1">
                  <from>
                    <xdr:col>6</xdr:col>
                    <xdr:colOff>0</xdr:colOff>
                    <xdr:row>37</xdr:row>
                    <xdr:rowOff>9525</xdr:rowOff>
                  </from>
                  <to>
                    <xdr:col>6</xdr:col>
                    <xdr:colOff>876300</xdr:colOff>
                    <xdr:row>38</xdr:row>
                    <xdr:rowOff>0</xdr:rowOff>
                  </to>
                </anchor>
              </controlPr>
            </control>
          </mc:Choice>
        </mc:AlternateContent>
        <mc:AlternateContent xmlns:mc="http://schemas.openxmlformats.org/markup-compatibility/2006">
          <mc:Choice Requires="x14">
            <control shapeId="674539" r:id="rId9" name="Drop Down 747">
              <controlPr defaultSize="0" autoLine="0" autoPict="0">
                <anchor moveWithCells="1">
                  <from>
                    <xdr:col>6</xdr:col>
                    <xdr:colOff>0</xdr:colOff>
                    <xdr:row>36</xdr:row>
                    <xdr:rowOff>9525</xdr:rowOff>
                  </from>
                  <to>
                    <xdr:col>6</xdr:col>
                    <xdr:colOff>876300</xdr:colOff>
                    <xdr:row>37</xdr:row>
                    <xdr:rowOff>0</xdr:rowOff>
                  </to>
                </anchor>
              </controlPr>
            </control>
          </mc:Choice>
        </mc:AlternateContent>
        <mc:AlternateContent xmlns:mc="http://schemas.openxmlformats.org/markup-compatibility/2006">
          <mc:Choice Requires="x14">
            <control shapeId="674540" r:id="rId10" name="Drop Down 748">
              <controlPr defaultSize="0" autoLine="0" autoPict="0">
                <anchor moveWithCells="1">
                  <from>
                    <xdr:col>6</xdr:col>
                    <xdr:colOff>0</xdr:colOff>
                    <xdr:row>39</xdr:row>
                    <xdr:rowOff>9525</xdr:rowOff>
                  </from>
                  <to>
                    <xdr:col>6</xdr:col>
                    <xdr:colOff>876300</xdr:colOff>
                    <xdr:row>40</xdr:row>
                    <xdr:rowOff>0</xdr:rowOff>
                  </to>
                </anchor>
              </controlPr>
            </control>
          </mc:Choice>
        </mc:AlternateContent>
        <mc:AlternateContent xmlns:mc="http://schemas.openxmlformats.org/markup-compatibility/2006">
          <mc:Choice Requires="x14">
            <control shapeId="674541" r:id="rId11" name="Drop Down 749">
              <controlPr defaultSize="0" autoLine="0" autoPict="0">
                <anchor moveWithCells="1">
                  <from>
                    <xdr:col>6</xdr:col>
                    <xdr:colOff>0</xdr:colOff>
                    <xdr:row>41</xdr:row>
                    <xdr:rowOff>9525</xdr:rowOff>
                  </from>
                  <to>
                    <xdr:col>6</xdr:col>
                    <xdr:colOff>876300</xdr:colOff>
                    <xdr:row>42</xdr:row>
                    <xdr:rowOff>0</xdr:rowOff>
                  </to>
                </anchor>
              </controlPr>
            </control>
          </mc:Choice>
        </mc:AlternateContent>
        <mc:AlternateContent xmlns:mc="http://schemas.openxmlformats.org/markup-compatibility/2006">
          <mc:Choice Requires="x14">
            <control shapeId="674542" r:id="rId12" name="Drop Down 750">
              <controlPr defaultSize="0" autoLine="0" autoPict="0">
                <anchor moveWithCells="1">
                  <from>
                    <xdr:col>6</xdr:col>
                    <xdr:colOff>0</xdr:colOff>
                    <xdr:row>42</xdr:row>
                    <xdr:rowOff>9525</xdr:rowOff>
                  </from>
                  <to>
                    <xdr:col>6</xdr:col>
                    <xdr:colOff>876300</xdr:colOff>
                    <xdr:row>43</xdr:row>
                    <xdr:rowOff>0</xdr:rowOff>
                  </to>
                </anchor>
              </controlPr>
            </control>
          </mc:Choice>
        </mc:AlternateContent>
        <mc:AlternateContent xmlns:mc="http://schemas.openxmlformats.org/markup-compatibility/2006">
          <mc:Choice Requires="x14">
            <control shapeId="674543" r:id="rId13" name="Drop Down 751">
              <controlPr defaultSize="0" autoLine="0" autoPict="0">
                <anchor moveWithCells="1">
                  <from>
                    <xdr:col>6</xdr:col>
                    <xdr:colOff>0</xdr:colOff>
                    <xdr:row>43</xdr:row>
                    <xdr:rowOff>9525</xdr:rowOff>
                  </from>
                  <to>
                    <xdr:col>6</xdr:col>
                    <xdr:colOff>876300</xdr:colOff>
                    <xdr:row>44</xdr:row>
                    <xdr:rowOff>0</xdr:rowOff>
                  </to>
                </anchor>
              </controlPr>
            </control>
          </mc:Choice>
        </mc:AlternateContent>
        <mc:AlternateContent xmlns:mc="http://schemas.openxmlformats.org/markup-compatibility/2006">
          <mc:Choice Requires="x14">
            <control shapeId="674544" r:id="rId14" name="Drop Down 752">
              <controlPr defaultSize="0" autoLine="0" autoPict="0">
                <anchor moveWithCells="1">
                  <from>
                    <xdr:col>6</xdr:col>
                    <xdr:colOff>0</xdr:colOff>
                    <xdr:row>34</xdr:row>
                    <xdr:rowOff>9525</xdr:rowOff>
                  </from>
                  <to>
                    <xdr:col>6</xdr:col>
                    <xdr:colOff>876300</xdr:colOff>
                    <xdr:row>35</xdr:row>
                    <xdr:rowOff>0</xdr:rowOff>
                  </to>
                </anchor>
              </controlPr>
            </control>
          </mc:Choice>
        </mc:AlternateContent>
        <mc:AlternateContent xmlns:mc="http://schemas.openxmlformats.org/markup-compatibility/2006">
          <mc:Choice Requires="x14">
            <control shapeId="674632" r:id="rId15" name="Drop Down 840">
              <controlPr defaultSize="0" autoLine="0" autoPict="0">
                <anchor moveWithCells="1">
                  <from>
                    <xdr:col>6</xdr:col>
                    <xdr:colOff>0</xdr:colOff>
                    <xdr:row>44</xdr:row>
                    <xdr:rowOff>9525</xdr:rowOff>
                  </from>
                  <to>
                    <xdr:col>6</xdr:col>
                    <xdr:colOff>876300</xdr:colOff>
                    <xdr:row>45</xdr:row>
                    <xdr:rowOff>0</xdr:rowOff>
                  </to>
                </anchor>
              </controlPr>
            </control>
          </mc:Choice>
        </mc:AlternateContent>
        <mc:AlternateContent xmlns:mc="http://schemas.openxmlformats.org/markup-compatibility/2006">
          <mc:Choice Requires="x14">
            <control shapeId="674633" r:id="rId16" name="Drop Down 841">
              <controlPr defaultSize="0" autoLine="0" autoPict="0">
                <anchor moveWithCells="1">
                  <from>
                    <xdr:col>6</xdr:col>
                    <xdr:colOff>0</xdr:colOff>
                    <xdr:row>33</xdr:row>
                    <xdr:rowOff>9525</xdr:rowOff>
                  </from>
                  <to>
                    <xdr:col>6</xdr:col>
                    <xdr:colOff>876300</xdr:colOff>
                    <xdr:row>34</xdr:row>
                    <xdr:rowOff>0</xdr:rowOff>
                  </to>
                </anchor>
              </controlPr>
            </control>
          </mc:Choice>
        </mc:AlternateContent>
        <mc:AlternateContent xmlns:mc="http://schemas.openxmlformats.org/markup-compatibility/2006">
          <mc:Choice Requires="x14">
            <control shapeId="706019" r:id="rId17" name="Drop Down 1507">
              <controlPr defaultSize="0" autoLine="0" autoPict="0">
                <anchor moveWithCells="1">
                  <from>
                    <xdr:col>5</xdr:col>
                    <xdr:colOff>895350</xdr:colOff>
                    <xdr:row>32</xdr:row>
                    <xdr:rowOff>9525</xdr:rowOff>
                  </from>
                  <to>
                    <xdr:col>6</xdr:col>
                    <xdr:colOff>866775</xdr:colOff>
                    <xdr:row>33</xdr:row>
                    <xdr:rowOff>0</xdr:rowOff>
                  </to>
                </anchor>
              </controlPr>
            </control>
          </mc:Choice>
        </mc:AlternateContent>
        <mc:AlternateContent xmlns:mc="http://schemas.openxmlformats.org/markup-compatibility/2006">
          <mc:Choice Requires="x14">
            <control shapeId="706028" r:id="rId18" name="Drop Down 1516">
              <controlPr defaultSize="0" autoLine="0" autoPict="0">
                <anchor moveWithCells="1">
                  <from>
                    <xdr:col>6</xdr:col>
                    <xdr:colOff>0</xdr:colOff>
                    <xdr:row>38</xdr:row>
                    <xdr:rowOff>9525</xdr:rowOff>
                  </from>
                  <to>
                    <xdr:col>6</xdr:col>
                    <xdr:colOff>876300</xdr:colOff>
                    <xdr:row>39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4B8E3D35-A815-4471-905F-8419AAA9FC23}">
            <xm:f>'Variable Mgmt'!$B$52=TRUE</xm:f>
            <x14:dxf>
              <font>
                <color theme="0"/>
              </font>
            </x14:dxf>
          </x14:cfRule>
          <xm:sqref>B36</xm:sqref>
        </x14:conditionalFormatting>
        <x14:conditionalFormatting xmlns:xm="http://schemas.microsoft.com/office/excel/2006/main">
          <x14:cfRule type="expression" priority="1" id="{8521D621-BE3D-4AAE-900E-18DA0D0FAC8E}">
            <xm:f>'Variable Mgmt'!$B$52=TRUE</xm:f>
            <x14:dxf>
              <font>
                <color rgb="FFFFFF99"/>
              </font>
            </x14:dxf>
          </x14:cfRule>
          <xm:sqref>B33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7030A0"/>
    <pageSetUpPr fitToPage="1"/>
  </sheetPr>
  <dimension ref="A1:R6"/>
  <sheetViews>
    <sheetView zoomScaleNormal="100" workbookViewId="0">
      <selection activeCell="A5" sqref="A5"/>
    </sheetView>
  </sheetViews>
  <sheetFormatPr defaultColWidth="9.140625" defaultRowHeight="12.75" x14ac:dyDescent="0.2"/>
  <cols>
    <col min="1" max="13" width="9.140625" style="86"/>
    <col min="14" max="14" width="11.85546875" style="86" customWidth="1"/>
    <col min="15" max="16" width="9.140625" style="86"/>
    <col min="17" max="17" width="15.7109375" style="86" customWidth="1"/>
    <col min="18" max="16384" width="9.140625" style="86"/>
  </cols>
  <sheetData>
    <row r="1" spans="1:18" s="77" customFormat="1" ht="47.25" customHeight="1" x14ac:dyDescent="0.2">
      <c r="A1" s="685" t="s">
        <v>705</v>
      </c>
      <c r="B1" s="686"/>
      <c r="C1" s="686"/>
      <c r="D1" s="686"/>
      <c r="E1" s="686"/>
      <c r="F1" s="686"/>
      <c r="G1" s="686"/>
      <c r="H1" s="686"/>
      <c r="I1" s="686"/>
      <c r="J1" s="686"/>
      <c r="K1" s="686"/>
      <c r="L1" s="686"/>
      <c r="M1" s="686"/>
      <c r="N1" s="686"/>
      <c r="O1" s="686"/>
      <c r="P1" s="686"/>
      <c r="Q1" s="686"/>
      <c r="R1" s="84"/>
    </row>
    <row r="6" spans="1:18" ht="20.25" x14ac:dyDescent="0.3">
      <c r="B6" s="87" t="s">
        <v>693</v>
      </c>
      <c r="N6" s="87" t="s">
        <v>690</v>
      </c>
    </row>
  </sheetData>
  <sheetProtection password="CCC8" sheet="1" objects="1" scenarios="1"/>
  <mergeCells count="1">
    <mergeCell ref="A1:Q1"/>
  </mergeCells>
  <pageMargins left="0.19" right="0.2" top="0.75" bottom="0.75" header="0.3" footer="0.3"/>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0000FF"/>
  </sheetPr>
  <dimension ref="A1:Z275"/>
  <sheetViews>
    <sheetView workbookViewId="0">
      <pane ySplit="5" topLeftCell="A6" activePane="bottomLeft" state="frozenSplit"/>
      <selection pane="bottomLeft" activeCell="B34" sqref="B34"/>
    </sheetView>
  </sheetViews>
  <sheetFormatPr defaultRowHeight="12.75" x14ac:dyDescent="0.2"/>
  <cols>
    <col min="1" max="1" width="40.42578125" customWidth="1"/>
    <col min="2" max="2" width="11.85546875" customWidth="1"/>
    <col min="3" max="3" width="9.42578125" style="4" customWidth="1"/>
    <col min="4" max="4" width="10.28515625" customWidth="1"/>
    <col min="5" max="5" width="11.5703125" customWidth="1"/>
    <col min="6" max="6" width="14.85546875" customWidth="1"/>
    <col min="7" max="7" width="12.42578125" bestFit="1" customWidth="1"/>
    <col min="8" max="8" width="20.140625" customWidth="1"/>
    <col min="9" max="9" width="14.42578125" customWidth="1"/>
    <col min="10" max="10" width="12.42578125" bestFit="1" customWidth="1"/>
    <col min="11" max="11" width="12" customWidth="1"/>
    <col min="12" max="12" width="8.85546875" customWidth="1"/>
    <col min="13" max="13" width="7" customWidth="1"/>
    <col min="14" max="14" width="9.28515625" customWidth="1"/>
    <col min="16" max="16" width="7.140625" customWidth="1"/>
    <col min="17" max="17" width="11" customWidth="1"/>
    <col min="18" max="18" width="13.85546875" customWidth="1"/>
    <col min="19" max="19" width="5.42578125" customWidth="1"/>
    <col min="20" max="20" width="16.28515625" customWidth="1"/>
    <col min="22" max="22" width="9.7109375" customWidth="1"/>
    <col min="23" max="23" width="11.28515625" customWidth="1"/>
    <col min="24" max="24" width="5.85546875" customWidth="1"/>
    <col min="26" max="26" width="7.85546875" customWidth="1"/>
  </cols>
  <sheetData>
    <row r="1" spans="1:12" ht="30.75" customHeight="1" x14ac:dyDescent="0.4">
      <c r="A1" s="688" t="s">
        <v>172</v>
      </c>
      <c r="B1" s="688"/>
      <c r="C1" s="688"/>
      <c r="D1" s="688"/>
      <c r="E1" s="688"/>
      <c r="F1" s="688"/>
      <c r="G1" s="688"/>
      <c r="H1" s="688"/>
      <c r="I1" s="688"/>
    </row>
    <row r="2" spans="1:12" ht="12" customHeight="1" x14ac:dyDescent="0.2">
      <c r="A2" s="20"/>
      <c r="B2" s="20" t="s">
        <v>81</v>
      </c>
      <c r="C2" s="21"/>
      <c r="E2" s="20"/>
      <c r="F2" s="20"/>
      <c r="G2" s="20"/>
      <c r="H2" s="20"/>
      <c r="I2" s="20"/>
    </row>
    <row r="3" spans="1:12" ht="11.25" customHeight="1" x14ac:dyDescent="0.2">
      <c r="A3" s="20"/>
      <c r="B3" s="20" t="s">
        <v>100</v>
      </c>
      <c r="C3" s="22"/>
      <c r="E3" s="20"/>
      <c r="F3" s="20"/>
      <c r="G3" s="20"/>
      <c r="H3" s="20"/>
      <c r="I3" s="20"/>
    </row>
    <row r="4" spans="1:12" ht="11.25" customHeight="1" x14ac:dyDescent="0.2">
      <c r="A4" s="20"/>
      <c r="B4" s="20" t="s">
        <v>82</v>
      </c>
      <c r="C4" s="23"/>
      <c r="E4" s="20"/>
      <c r="F4" s="20"/>
      <c r="G4" s="20"/>
      <c r="H4" s="20"/>
      <c r="I4" s="20"/>
    </row>
    <row r="5" spans="1:12" x14ac:dyDescent="0.2">
      <c r="A5" s="4" t="s">
        <v>19</v>
      </c>
      <c r="B5" s="4" t="s">
        <v>6</v>
      </c>
      <c r="C5" s="4" t="s">
        <v>7</v>
      </c>
      <c r="E5" s="687" t="s">
        <v>9</v>
      </c>
      <c r="F5" s="687"/>
      <c r="G5" s="687"/>
      <c r="H5" s="687"/>
      <c r="I5" s="4" t="s">
        <v>174</v>
      </c>
    </row>
    <row r="6" spans="1:12" ht="16.5" thickBot="1" x14ac:dyDescent="0.3">
      <c r="A6" s="52" t="s">
        <v>61</v>
      </c>
      <c r="B6" s="41"/>
      <c r="C6" s="41"/>
      <c r="D6" s="41"/>
      <c r="E6" s="53"/>
      <c r="F6" s="53"/>
      <c r="G6" s="53"/>
      <c r="H6" s="53"/>
      <c r="I6" s="41"/>
    </row>
    <row r="7" spans="1:12" x14ac:dyDescent="0.2">
      <c r="A7" s="111" t="s">
        <v>145</v>
      </c>
      <c r="B7" s="10">
        <f>'Design Converter'!E6</f>
        <v>10</v>
      </c>
      <c r="C7" s="32" t="s">
        <v>0</v>
      </c>
      <c r="D7" s="81" t="s">
        <v>146</v>
      </c>
      <c r="E7" s="32"/>
      <c r="F7" s="32"/>
      <c r="G7" s="32"/>
      <c r="H7" s="32"/>
      <c r="I7" s="33">
        <v>1</v>
      </c>
    </row>
    <row r="8" spans="1:12" x14ac:dyDescent="0.2">
      <c r="A8" s="112" t="s">
        <v>143</v>
      </c>
      <c r="B8" s="11">
        <f>'Design Converter'!E7</f>
        <v>12</v>
      </c>
      <c r="C8" s="8" t="s">
        <v>0</v>
      </c>
      <c r="D8" s="8" t="s">
        <v>10</v>
      </c>
      <c r="F8" s="8"/>
      <c r="G8" s="8"/>
      <c r="H8" s="8"/>
      <c r="I8" s="26"/>
    </row>
    <row r="9" spans="1:12" x14ac:dyDescent="0.2">
      <c r="A9" s="112" t="s">
        <v>144</v>
      </c>
      <c r="B9" s="11">
        <f>'Design Converter'!E8</f>
        <v>15</v>
      </c>
      <c r="C9" s="8" t="s">
        <v>0</v>
      </c>
      <c r="D9" s="79" t="s">
        <v>147</v>
      </c>
      <c r="F9" s="8"/>
      <c r="G9" s="8"/>
      <c r="H9" s="8"/>
      <c r="I9" s="26"/>
    </row>
    <row r="10" spans="1:12" x14ac:dyDescent="0.2">
      <c r="A10" s="112"/>
      <c r="B10" s="211"/>
      <c r="C10" s="62"/>
      <c r="D10" s="79"/>
      <c r="F10" s="8"/>
      <c r="G10" s="8"/>
      <c r="H10" s="8"/>
      <c r="I10" s="26"/>
    </row>
    <row r="11" spans="1:12" x14ac:dyDescent="0.2">
      <c r="A11" s="25" t="s">
        <v>4</v>
      </c>
      <c r="B11" s="11">
        <f>'Design Converter'!E10</f>
        <v>24</v>
      </c>
      <c r="C11" s="8" t="s">
        <v>0</v>
      </c>
      <c r="D11" s="79" t="s">
        <v>581</v>
      </c>
      <c r="F11" s="8"/>
      <c r="G11" s="8">
        <f>(Vout+Vfwd1)*Nps</f>
        <v>24.25</v>
      </c>
      <c r="H11" s="8"/>
      <c r="I11" s="26">
        <v>1</v>
      </c>
      <c r="K11" t="str">
        <f>'Variable Mgmt'!B51&amp;" Output PSR Flyback Converter, "&amp;"VIN = "&amp;Vin&amp;" V, VOUT = "&amp;Vout&amp;" V, IOUT = "&amp;Iout&amp;" A"</f>
        <v>SINGLE Output PSR Flyback Converter, VIN = 12 V, VOUT = 24 V, IOUT = 0.11 A</v>
      </c>
    </row>
    <row r="12" spans="1:12" x14ac:dyDescent="0.2">
      <c r="A12" s="25" t="s">
        <v>5</v>
      </c>
      <c r="B12" s="593">
        <f>'Design Converter'!E11</f>
        <v>0.11</v>
      </c>
      <c r="C12" s="79" t="s">
        <v>1</v>
      </c>
      <c r="D12" s="79" t="s">
        <v>673</v>
      </c>
      <c r="F12" s="8"/>
      <c r="G12" s="8"/>
      <c r="H12" s="8"/>
      <c r="I12" s="26">
        <v>1</v>
      </c>
      <c r="K12" t="str">
        <f>'Variable Mgmt'!B51&amp;" Output PSR Flyback Converter, "&amp;"VIN = "&amp;Vin&amp;" V, VOUT1 = "&amp;Vout&amp;" V, IOUT1 = "&amp;Iout&amp;" A"&amp;", VOUT2 = "&amp;Vout2_actual&amp;" V, IOUT2 = "&amp;Iout2_actual&amp;" A"</f>
        <v>SINGLE Output PSR Flyback Converter, VIN = 12 V, VOUT1 = 24 V, IOUT1 = 0.11 A, VOUT2 = -12 V, IOUT2 = -0.2 A</v>
      </c>
      <c r="L12" s="78"/>
    </row>
    <row r="13" spans="1:12" x14ac:dyDescent="0.2">
      <c r="A13" s="112" t="s">
        <v>169</v>
      </c>
      <c r="B13" s="159">
        <f>Vout/Iout</f>
        <v>218.18181818181819</v>
      </c>
      <c r="C13" s="115" t="s">
        <v>45</v>
      </c>
      <c r="D13" s="113" t="s">
        <v>170</v>
      </c>
      <c r="F13" s="8"/>
      <c r="G13" s="8"/>
      <c r="H13" s="8"/>
      <c r="I13" s="26"/>
    </row>
    <row r="14" spans="1:12" x14ac:dyDescent="0.2">
      <c r="A14" s="112" t="s">
        <v>153</v>
      </c>
      <c r="B14" s="592">
        <f>Vout*Iout</f>
        <v>2.64</v>
      </c>
      <c r="C14" s="62" t="s">
        <v>45</v>
      </c>
      <c r="D14" s="113" t="s">
        <v>159</v>
      </c>
      <c r="F14" s="8"/>
      <c r="G14" s="8"/>
      <c r="H14" s="8"/>
      <c r="I14" s="26"/>
      <c r="L14" s="78"/>
    </row>
    <row r="15" spans="1:12" x14ac:dyDescent="0.2">
      <c r="B15" s="378"/>
      <c r="C15" s="62"/>
      <c r="D15" s="113"/>
      <c r="F15" s="8"/>
      <c r="G15" s="8"/>
      <c r="H15" s="8"/>
      <c r="I15" s="26"/>
      <c r="L15" s="78"/>
    </row>
    <row r="16" spans="1:12" x14ac:dyDescent="0.2">
      <c r="A16" s="112" t="s">
        <v>627</v>
      </c>
      <c r="B16" s="594">
        <f>ABS('Design Converter'!E12)</f>
        <v>12</v>
      </c>
      <c r="C16" s="8" t="s">
        <v>0</v>
      </c>
      <c r="D16" s="79" t="s">
        <v>583</v>
      </c>
      <c r="F16" s="8"/>
      <c r="G16" s="8"/>
      <c r="H16" s="8"/>
      <c r="I16" s="26"/>
      <c r="L16" s="78"/>
    </row>
    <row r="17" spans="1:23" x14ac:dyDescent="0.2">
      <c r="A17" s="112" t="s">
        <v>628</v>
      </c>
      <c r="B17" s="637">
        <f>'Design Converter'!E12</f>
        <v>-12</v>
      </c>
      <c r="C17" s="62" t="s">
        <v>0</v>
      </c>
      <c r="D17" s="79"/>
      <c r="F17" s="8"/>
      <c r="G17" s="8"/>
      <c r="H17" s="8"/>
      <c r="I17" s="26"/>
      <c r="L17" s="78"/>
    </row>
    <row r="18" spans="1:23" x14ac:dyDescent="0.2">
      <c r="A18" s="112" t="s">
        <v>512</v>
      </c>
      <c r="B18" s="594">
        <f>ABS('Design Converter'!E13)</f>
        <v>0.2</v>
      </c>
      <c r="C18" s="79" t="s">
        <v>1</v>
      </c>
      <c r="D18" s="79" t="s">
        <v>582</v>
      </c>
      <c r="F18" s="8"/>
      <c r="G18" s="8"/>
      <c r="H18" s="8"/>
      <c r="I18" s="26"/>
      <c r="L18" s="78"/>
    </row>
    <row r="19" spans="1:23" x14ac:dyDescent="0.2">
      <c r="A19" s="113" t="s">
        <v>672</v>
      </c>
      <c r="B19">
        <f>Iout2*SIGN(Vout2_actual)</f>
        <v>-0.2</v>
      </c>
      <c r="C19" s="78" t="s">
        <v>1</v>
      </c>
      <c r="F19" s="8"/>
      <c r="G19" s="8"/>
      <c r="H19" s="8"/>
      <c r="I19" s="26"/>
      <c r="L19" s="78"/>
    </row>
    <row r="20" spans="1:23" x14ac:dyDescent="0.2">
      <c r="A20" s="112" t="s">
        <v>513</v>
      </c>
      <c r="B20" s="592">
        <f>ABS(Vout2/Iout2)</f>
        <v>60</v>
      </c>
      <c r="C20" s="115" t="s">
        <v>45</v>
      </c>
      <c r="D20" s="113" t="s">
        <v>515</v>
      </c>
      <c r="F20" s="8"/>
      <c r="G20" s="8"/>
      <c r="H20" s="8"/>
      <c r="I20" s="26"/>
      <c r="K20" s="78" t="s">
        <v>547</v>
      </c>
      <c r="L20" s="78" t="s">
        <v>548</v>
      </c>
    </row>
    <row r="21" spans="1:23" x14ac:dyDescent="0.2">
      <c r="A21" s="112" t="s">
        <v>514</v>
      </c>
      <c r="B21" s="592">
        <f>ABS(Vout2*Iout2)</f>
        <v>2.4000000000000004</v>
      </c>
      <c r="C21" s="62" t="s">
        <v>45</v>
      </c>
      <c r="D21" s="113" t="s">
        <v>516</v>
      </c>
      <c r="F21" s="8"/>
      <c r="G21" s="8"/>
      <c r="H21" s="8"/>
      <c r="I21" s="26"/>
      <c r="K21">
        <v>5</v>
      </c>
      <c r="L21" s="78">
        <v>-5</v>
      </c>
    </row>
    <row r="22" spans="1:23" x14ac:dyDescent="0.2">
      <c r="A22" s="112" t="s">
        <v>517</v>
      </c>
      <c r="B22" s="592">
        <f>CHOOSE(MODE, Pout, Pout + Pout2)</f>
        <v>2.64</v>
      </c>
      <c r="C22" s="62" t="s">
        <v>45</v>
      </c>
      <c r="D22" s="113" t="s">
        <v>518</v>
      </c>
      <c r="F22" s="8"/>
      <c r="G22" s="8"/>
      <c r="H22" s="8"/>
      <c r="I22" s="26"/>
      <c r="K22">
        <v>0.2</v>
      </c>
      <c r="L22" s="78">
        <v>0.2</v>
      </c>
    </row>
    <row r="23" spans="1:23" x14ac:dyDescent="0.2">
      <c r="A23" s="112"/>
      <c r="B23" s="378"/>
      <c r="C23" s="62"/>
      <c r="D23" s="113"/>
      <c r="F23" s="8"/>
      <c r="G23" s="8"/>
      <c r="H23" s="8"/>
      <c r="I23" s="26"/>
      <c r="L23" s="78"/>
    </row>
    <row r="24" spans="1:23" x14ac:dyDescent="0.2">
      <c r="A24" s="35" t="str">
        <f>CHOOSE(MODE, "Turns Ratio, PRI : SEC", "Turns Ratio, PRI : SEC1")</f>
        <v>Turns Ratio, PRI : SEC</v>
      </c>
      <c r="B24" s="575" t="str">
        <f>Nps</f>
        <v>1</v>
      </c>
      <c r="C24" s="62"/>
      <c r="D24" s="113" t="str">
        <f>CHOOSE(MODE, "TR primary-secondary (single output) = Np/Ns", "TR primary-secondary1 (dual output) = Np/Nsec1")</f>
        <v>TR primary-secondary (single output) = Np/Ns</v>
      </c>
      <c r="F24" s="8"/>
      <c r="G24" s="8"/>
      <c r="H24" s="8"/>
      <c r="I24" s="26"/>
      <c r="L24" s="78"/>
    </row>
    <row r="25" spans="1:23" x14ac:dyDescent="0.2">
      <c r="A25" s="35" t="s">
        <v>595</v>
      </c>
      <c r="B25" s="179">
        <f>Npri_sec2</f>
        <v>1.9795918367346939</v>
      </c>
      <c r="D25" s="113" t="s">
        <v>596</v>
      </c>
      <c r="F25" s="8"/>
      <c r="G25" s="8"/>
      <c r="H25" s="8"/>
      <c r="I25" s="26"/>
      <c r="L25" s="78"/>
    </row>
    <row r="26" spans="1:23" x14ac:dyDescent="0.2">
      <c r="A26" s="35" t="s">
        <v>608</v>
      </c>
      <c r="B26" s="636">
        <f>Nsec1sec2</f>
        <v>0.50515463917525771</v>
      </c>
      <c r="D26" s="78" t="s">
        <v>597</v>
      </c>
      <c r="F26" s="8"/>
      <c r="G26" s="8"/>
      <c r="H26" s="8"/>
      <c r="I26" s="26"/>
      <c r="L26" s="78"/>
      <c r="R26" s="163" t="s">
        <v>400</v>
      </c>
      <c r="V26" s="163" t="s">
        <v>400</v>
      </c>
    </row>
    <row r="27" spans="1:23" x14ac:dyDescent="0.2">
      <c r="H27" s="8"/>
      <c r="I27" s="26"/>
      <c r="K27" s="163" t="s">
        <v>546</v>
      </c>
      <c r="R27" s="163" t="s">
        <v>590</v>
      </c>
      <c r="V27" s="163" t="s">
        <v>591</v>
      </c>
    </row>
    <row r="28" spans="1:23" x14ac:dyDescent="0.2">
      <c r="A28" s="78" t="s">
        <v>629</v>
      </c>
      <c r="B28" s="6">
        <f>Vout+VIN_max/Nps</f>
        <v>39</v>
      </c>
      <c r="C28" s="78" t="s">
        <v>0</v>
      </c>
      <c r="G28" s="8"/>
      <c r="H28" s="8"/>
      <c r="I28" s="26"/>
      <c r="K28" s="78" t="s">
        <v>543</v>
      </c>
      <c r="L28">
        <v>1</v>
      </c>
      <c r="R28" t="str">
        <f>"5 : 1"</f>
        <v>5 : 1</v>
      </c>
      <c r="S28">
        <v>1</v>
      </c>
      <c r="V28" t="str">
        <f>CHOOSE(MODE, "Functional", "5 : 1")</f>
        <v>Functional</v>
      </c>
      <c r="W28">
        <v>1</v>
      </c>
    </row>
    <row r="29" spans="1:23" x14ac:dyDescent="0.2">
      <c r="F29" s="8"/>
      <c r="G29" s="8"/>
      <c r="H29" s="8"/>
      <c r="I29" s="26"/>
      <c r="K29" s="78" t="s">
        <v>544</v>
      </c>
      <c r="L29">
        <v>2</v>
      </c>
      <c r="R29" t="str">
        <f>"4 : 1"</f>
        <v>4 : 1</v>
      </c>
      <c r="S29">
        <v>2</v>
      </c>
      <c r="V29" t="str">
        <f>CHOOSE(MODE, "Basic", "4 : 1")</f>
        <v>Basic</v>
      </c>
      <c r="W29">
        <v>2</v>
      </c>
    </row>
    <row r="30" spans="1:23" x14ac:dyDescent="0.2">
      <c r="A30" s="112" t="s">
        <v>447</v>
      </c>
      <c r="B30" s="377">
        <f>1%*Vout*1000</f>
        <v>240</v>
      </c>
      <c r="C30" s="62" t="s">
        <v>149</v>
      </c>
      <c r="D30" s="113" t="s">
        <v>465</v>
      </c>
      <c r="F30" s="8"/>
      <c r="G30" s="8"/>
      <c r="H30" s="8"/>
      <c r="I30" s="26"/>
      <c r="K30" s="78" t="s">
        <v>545</v>
      </c>
      <c r="L30">
        <v>3</v>
      </c>
      <c r="R30" t="str">
        <f>"3 : 1"</f>
        <v>3 : 1</v>
      </c>
      <c r="S30">
        <v>3</v>
      </c>
      <c r="V30" t="str">
        <f>CHOOSE(MODE, "Reinforced", "3 : 1")</f>
        <v>Reinforced</v>
      </c>
      <c r="W30">
        <v>3</v>
      </c>
    </row>
    <row r="31" spans="1:23" x14ac:dyDescent="0.2">
      <c r="A31" s="112" t="s">
        <v>565</v>
      </c>
      <c r="B31" s="377">
        <f>1%*Vout2*1000</f>
        <v>120</v>
      </c>
      <c r="C31" s="62" t="s">
        <v>149</v>
      </c>
      <c r="D31" s="113" t="s">
        <v>564</v>
      </c>
      <c r="F31" s="8"/>
      <c r="G31" s="8"/>
      <c r="H31" s="8"/>
      <c r="I31" s="26"/>
      <c r="Q31" s="535"/>
      <c r="R31" t="str">
        <f>"2 : 1"</f>
        <v>2 : 1</v>
      </c>
      <c r="S31">
        <v>4</v>
      </c>
      <c r="V31" t="str">
        <f>CHOOSE(MODE, "", "2 : 1")</f>
        <v/>
      </c>
      <c r="W31">
        <v>4</v>
      </c>
    </row>
    <row r="32" spans="1:23" x14ac:dyDescent="0.2">
      <c r="F32" s="8"/>
      <c r="G32" s="8"/>
      <c r="H32" s="8"/>
      <c r="I32" s="26"/>
      <c r="R32" t="str">
        <f>"1.5 : 1"</f>
        <v>1.5 : 1</v>
      </c>
      <c r="S32">
        <v>5</v>
      </c>
      <c r="V32" t="str">
        <f>CHOOSE(MODE, "", "1 : 1")</f>
        <v/>
      </c>
      <c r="W32">
        <v>5</v>
      </c>
    </row>
    <row r="33" spans="1:23" x14ac:dyDescent="0.2">
      <c r="A33" s="112" t="s">
        <v>47</v>
      </c>
      <c r="B33" s="638">
        <f>IF(Vout&gt;5, 95%, 90%)</f>
        <v>0.95</v>
      </c>
      <c r="C33" s="62"/>
      <c r="D33" s="79" t="s">
        <v>176</v>
      </c>
      <c r="F33" s="8"/>
      <c r="G33" s="8"/>
      <c r="H33" s="8"/>
      <c r="I33" s="26"/>
      <c r="R33" t="str">
        <f>"1 : 1"</f>
        <v>1 : 1</v>
      </c>
      <c r="S33">
        <v>6</v>
      </c>
      <c r="V33" t="str">
        <f>CHOOSE(MODE, "", "1 : 2")</f>
        <v/>
      </c>
      <c r="W33">
        <v>6</v>
      </c>
    </row>
    <row r="34" spans="1:23" x14ac:dyDescent="0.2">
      <c r="A34" s="112" t="s">
        <v>157</v>
      </c>
      <c r="B34" s="427">
        <f>Pout/Efficiency</f>
        <v>2.7789473684210528</v>
      </c>
      <c r="C34" s="62" t="s">
        <v>45</v>
      </c>
      <c r="D34" s="113" t="s">
        <v>466</v>
      </c>
      <c r="F34" s="8"/>
      <c r="G34" s="8"/>
      <c r="H34" s="8"/>
      <c r="I34" s="26"/>
      <c r="R34" t="str">
        <f>"1 : 1.5"</f>
        <v>1 : 1.5</v>
      </c>
      <c r="S34">
        <v>7</v>
      </c>
      <c r="V34" t="str">
        <f>CHOOSE(MODE, "", "1 : 3")</f>
        <v/>
      </c>
      <c r="W34">
        <v>7</v>
      </c>
    </row>
    <row r="35" spans="1:23" x14ac:dyDescent="0.2">
      <c r="A35" s="112" t="s">
        <v>154</v>
      </c>
      <c r="B35" s="168">
        <f>Pin/VIN_min</f>
        <v>0.27789473684210531</v>
      </c>
      <c r="C35" s="62" t="s">
        <v>1</v>
      </c>
      <c r="D35" s="79"/>
      <c r="F35" s="8"/>
      <c r="G35" s="8"/>
      <c r="H35" s="8"/>
      <c r="I35" s="26"/>
      <c r="R35" t="str">
        <f>"1 : 2"</f>
        <v>1 : 2</v>
      </c>
      <c r="S35">
        <v>8</v>
      </c>
      <c r="V35" t="str">
        <f>CHOOSE(MODE, "", "1 : 4")</f>
        <v/>
      </c>
      <c r="W35">
        <v>8</v>
      </c>
    </row>
    <row r="36" spans="1:23" x14ac:dyDescent="0.2">
      <c r="A36" s="112" t="s">
        <v>155</v>
      </c>
      <c r="B36" s="168">
        <f>Pin/VIN_nom</f>
        <v>0.23157894736842108</v>
      </c>
      <c r="C36" s="62" t="s">
        <v>1</v>
      </c>
      <c r="D36" s="113" t="s">
        <v>160</v>
      </c>
      <c r="F36" s="8"/>
      <c r="G36" s="8"/>
      <c r="H36" s="8"/>
      <c r="I36" s="26">
        <v>1</v>
      </c>
      <c r="K36" s="78"/>
      <c r="R36" t="str">
        <f>"1 : 3"</f>
        <v>1 : 3</v>
      </c>
      <c r="S36">
        <v>9</v>
      </c>
      <c r="V36" t="str">
        <f>CHOOSE(MODE, "", "1 : 5")</f>
        <v/>
      </c>
      <c r="W36">
        <v>9</v>
      </c>
    </row>
    <row r="37" spans="1:23" x14ac:dyDescent="0.2">
      <c r="A37" s="112" t="s">
        <v>156</v>
      </c>
      <c r="B37" s="168">
        <f>Pin/VIN_max</f>
        <v>0.18526315789473685</v>
      </c>
      <c r="C37" s="62" t="s">
        <v>1</v>
      </c>
      <c r="D37" s="79"/>
      <c r="F37" s="8"/>
      <c r="G37" s="8"/>
      <c r="H37" s="8"/>
      <c r="I37" s="26"/>
      <c r="R37" t="str">
        <f>"1 : 4"</f>
        <v>1 : 4</v>
      </c>
      <c r="S37">
        <v>10</v>
      </c>
    </row>
    <row r="38" spans="1:23" x14ac:dyDescent="0.2">
      <c r="A38" s="112" t="s">
        <v>626</v>
      </c>
      <c r="B38" s="536">
        <f>CHOOSE(MODE, 'Calculations - Single'!N110, 'Calculations - Dual'!O110+'Calculations - Dual'!P110)</f>
        <v>4.8765510948905106</v>
      </c>
      <c r="C38" s="113" t="s">
        <v>45</v>
      </c>
      <c r="D38" s="79" t="b">
        <f>B38&lt;Pout_total</f>
        <v>0</v>
      </c>
      <c r="F38" s="8"/>
      <c r="G38" s="8"/>
      <c r="H38" s="8"/>
      <c r="I38" s="26"/>
      <c r="Q38" s="582" t="s">
        <v>399</v>
      </c>
      <c r="R38" s="470" t="str">
        <f>CHOOSE(Turns_Ratio, "5 : 1", "4 : 1", "3 : 1", "2 : 1", "1.5 : 1", "1 : 1", "1 : 1.5", "1 : 2", "1 : 3", "1 : 4")</f>
        <v>1 : 1</v>
      </c>
      <c r="S38" s="4">
        <v>6</v>
      </c>
      <c r="U38" s="582" t="s">
        <v>589</v>
      </c>
      <c r="V38" s="456" t="str">
        <f>CHOOSE(Turns_Ratio2, "5 : 1", "4 : 1", "3 : 1", "2 : 1", "1 : 1", "1 : 2", "1 : 3", "1 : 4", "1 : 5")</f>
        <v>1 : 5</v>
      </c>
      <c r="W38" s="4">
        <v>9</v>
      </c>
    </row>
    <row r="39" spans="1:23" x14ac:dyDescent="0.2">
      <c r="A39" s="112" t="s">
        <v>439</v>
      </c>
      <c r="B39" s="135">
        <v>350000</v>
      </c>
      <c r="C39" s="113" t="s">
        <v>8</v>
      </c>
      <c r="D39" s="79" t="s">
        <v>584</v>
      </c>
      <c r="F39" s="8"/>
      <c r="G39" s="8"/>
      <c r="H39" s="8"/>
      <c r="I39" s="26"/>
    </row>
    <row r="40" spans="1:23" x14ac:dyDescent="0.2">
      <c r="A40" s="27" t="s">
        <v>18</v>
      </c>
      <c r="B40" s="28">
        <v>1.21</v>
      </c>
      <c r="C40" s="8" t="s">
        <v>0</v>
      </c>
      <c r="D40" s="79" t="s">
        <v>585</v>
      </c>
      <c r="F40" s="8"/>
      <c r="G40" s="8"/>
      <c r="H40" s="8"/>
      <c r="I40" s="26"/>
      <c r="Q40" s="78" t="s">
        <v>458</v>
      </c>
      <c r="R40" s="470" t="str">
        <f>CHOOSE(Turns_Ratio, "5", "4 ", "3", "2", "1.5", "1", "0.66", "0.5", "0.33", "0.25")</f>
        <v>1</v>
      </c>
    </row>
    <row r="41" spans="1:23" x14ac:dyDescent="0.2">
      <c r="A41" s="112" t="s">
        <v>397</v>
      </c>
      <c r="B41" s="169">
        <f>'Design Converter'!E27*1000</f>
        <v>727500</v>
      </c>
      <c r="C41" s="115" t="s">
        <v>45</v>
      </c>
      <c r="D41" s="113" t="s">
        <v>586</v>
      </c>
      <c r="F41" s="8"/>
      <c r="G41" s="8"/>
      <c r="H41" s="8"/>
      <c r="I41" s="26"/>
      <c r="Q41" s="78" t="s">
        <v>507</v>
      </c>
      <c r="R41" s="470" t="str">
        <f>CHOOSE(Turns_Ratio, "5", "4 ", "3", "2", "1.5", "1", "0.66", "0.5", "0.33", "0.25")</f>
        <v>1</v>
      </c>
      <c r="V41" s="78" t="s">
        <v>593</v>
      </c>
      <c r="W41" s="163" t="str">
        <f>CHOOSE(Turns_Ratio, "1", "1", "1", "1", "1", "1", "1.5", "2", "3", "4")</f>
        <v>1</v>
      </c>
    </row>
    <row r="42" spans="1:23" x14ac:dyDescent="0.2">
      <c r="A42" s="112"/>
      <c r="B42" s="377"/>
      <c r="C42" s="115"/>
      <c r="D42" s="62"/>
      <c r="F42" s="8"/>
      <c r="G42" s="8"/>
      <c r="H42" s="8"/>
      <c r="I42" s="26"/>
      <c r="K42" s="78" t="s">
        <v>401</v>
      </c>
      <c r="Q42" s="78" t="s">
        <v>592</v>
      </c>
      <c r="R42" s="650">
        <f>ABS((Vout2+Vfwd1)/(Vout+Vfwd1))</f>
        <v>0.50515463917525771</v>
      </c>
      <c r="V42" s="78" t="s">
        <v>592</v>
      </c>
      <c r="W42" s="635">
        <f>Nsec1sec2</f>
        <v>0.50515463917525771</v>
      </c>
    </row>
    <row r="43" spans="1:23" ht="15.75" x14ac:dyDescent="0.3">
      <c r="A43" s="112" t="s">
        <v>398</v>
      </c>
      <c r="B43" s="536">
        <v>0.1</v>
      </c>
      <c r="C43" s="79" t="s">
        <v>45</v>
      </c>
      <c r="D43" s="113" t="s">
        <v>587</v>
      </c>
      <c r="F43" s="618" t="s">
        <v>588</v>
      </c>
      <c r="G43" s="8"/>
      <c r="H43" s="8"/>
      <c r="I43" s="26"/>
      <c r="Q43" s="486" t="s">
        <v>508</v>
      </c>
      <c r="R43" s="633">
        <f>Nps/Nsec1sec2</f>
        <v>1.9795918367346939</v>
      </c>
      <c r="V43" s="4"/>
      <c r="W43" s="634">
        <f>W41*W42</f>
        <v>0.50515463917525771</v>
      </c>
    </row>
    <row r="44" spans="1:23" ht="13.5" thickBot="1" x14ac:dyDescent="0.25">
      <c r="A44" s="29"/>
      <c r="B44" s="30"/>
      <c r="C44" s="82"/>
      <c r="D44" s="30"/>
      <c r="E44" s="30"/>
      <c r="F44" s="30"/>
      <c r="G44" s="30"/>
      <c r="H44" s="30"/>
      <c r="I44" s="31"/>
      <c r="K44" s="452" t="str">
        <f>"SCH_"&amp;B51&amp;"_"&amp;F56&amp;"_"&amp;I56&amp;"_"&amp;F50</f>
        <v>SCH_SINGLE_UVLOadj_SSadj_TCyes</v>
      </c>
      <c r="R44" s="374">
        <f>ROUND(Nsec1sec2,1)</f>
        <v>0.5</v>
      </c>
      <c r="V44" s="163" t="s">
        <v>594</v>
      </c>
      <c r="W44" s="624" t="str">
        <f>CHOOSE(MODE, R38, R38&amp;" : "&amp;ROUND(W43,2))</f>
        <v>1 : 1</v>
      </c>
    </row>
    <row r="45" spans="1:23" x14ac:dyDescent="0.2">
      <c r="A45" s="8"/>
      <c r="B45" s="8"/>
      <c r="C45" s="41"/>
      <c r="D45" s="8"/>
      <c r="E45" s="8"/>
      <c r="F45" s="8"/>
      <c r="G45" s="8"/>
      <c r="H45" s="8"/>
      <c r="I45" s="8"/>
    </row>
    <row r="46" spans="1:23" ht="16.5" thickBot="1" x14ac:dyDescent="0.3">
      <c r="A46" s="52" t="s">
        <v>575</v>
      </c>
      <c r="B46" s="8"/>
      <c r="C46" s="41"/>
      <c r="D46" s="8"/>
      <c r="E46" s="8"/>
      <c r="F46" s="8"/>
      <c r="G46" s="8"/>
      <c r="H46" s="8"/>
      <c r="I46" s="8"/>
    </row>
    <row r="47" spans="1:23" ht="15.75" x14ac:dyDescent="0.25">
      <c r="A47" s="387"/>
      <c r="B47" s="388"/>
      <c r="C47" s="389"/>
      <c r="D47" s="388"/>
      <c r="E47" s="388"/>
      <c r="F47" s="388"/>
      <c r="G47" s="388"/>
      <c r="H47" s="388"/>
      <c r="I47" s="444"/>
      <c r="J47" s="444"/>
      <c r="K47" s="444"/>
      <c r="L47" s="444"/>
      <c r="M47" s="444"/>
      <c r="N47" s="444"/>
      <c r="O47" s="25"/>
    </row>
    <row r="48" spans="1:23" x14ac:dyDescent="0.2">
      <c r="A48" s="384" t="s">
        <v>367</v>
      </c>
      <c r="B48" s="79" t="s">
        <v>368</v>
      </c>
      <c r="C48" s="445">
        <v>1</v>
      </c>
      <c r="D48" s="8"/>
      <c r="E48" s="384" t="s">
        <v>385</v>
      </c>
      <c r="F48" s="79" t="s">
        <v>370</v>
      </c>
      <c r="G48" s="166" t="b">
        <v>1</v>
      </c>
      <c r="I48" s="160" t="s">
        <v>303</v>
      </c>
      <c r="J48" s="166">
        <v>1</v>
      </c>
      <c r="K48" t="str">
        <f>B51&amp;", "&amp;F50&amp;", "&amp;I50&amp;", "&amp;F56&amp;", "&amp;I56</f>
        <v>SINGLE, TCyes, IlimRes, UVLOadj, SSadj</v>
      </c>
      <c r="O48" s="25"/>
      <c r="Q48" s="402" t="s">
        <v>337</v>
      </c>
      <c r="R48" s="4" t="s">
        <v>332</v>
      </c>
      <c r="S48" s="374">
        <v>1</v>
      </c>
    </row>
    <row r="49" spans="1:26" x14ac:dyDescent="0.2">
      <c r="A49" s="383"/>
      <c r="B49" s="79" t="s">
        <v>369</v>
      </c>
      <c r="C49" s="445">
        <v>2</v>
      </c>
      <c r="D49" s="8"/>
      <c r="E49" s="38"/>
      <c r="F49" s="79" t="s">
        <v>371</v>
      </c>
      <c r="G49" s="166" t="b">
        <v>0</v>
      </c>
      <c r="I49" s="160" t="s">
        <v>304</v>
      </c>
      <c r="J49" s="166">
        <v>2</v>
      </c>
      <c r="K49" t="str">
        <f>C51&amp;", "&amp;G50&amp;", "&amp;J50&amp;", "&amp;G56&amp;", "&amp;J56</f>
        <v>1, 1, 2, 1, 1</v>
      </c>
      <c r="O49" s="25"/>
      <c r="Q49" s="402" t="s">
        <v>339</v>
      </c>
      <c r="R49" s="4" t="s">
        <v>333</v>
      </c>
      <c r="S49" s="374">
        <v>2</v>
      </c>
    </row>
    <row r="50" spans="1:26" x14ac:dyDescent="0.2">
      <c r="B50" s="78" t="s">
        <v>521</v>
      </c>
      <c r="C50" s="597">
        <v>3</v>
      </c>
      <c r="D50" s="8"/>
      <c r="E50" s="451" t="s">
        <v>386</v>
      </c>
      <c r="F50" s="386" t="str">
        <f>CHOOSE(G50, "TCyes", "TCno")</f>
        <v>TCyes</v>
      </c>
      <c r="G50" s="381">
        <v>1</v>
      </c>
      <c r="H50" s="451" t="s">
        <v>302</v>
      </c>
      <c r="I50" s="447" t="str">
        <f>CHOOSE(J50, "IlimGND", "IlimRes")</f>
        <v>IlimRes</v>
      </c>
      <c r="J50" s="381">
        <f>IF(C56=4, 1, 2)</f>
        <v>2</v>
      </c>
      <c r="K50" t="str">
        <f>C51&amp;G50&amp;J50&amp;G56&amp;J56</f>
        <v>11211</v>
      </c>
      <c r="O50" s="25"/>
      <c r="Q50" s="402" t="s">
        <v>340</v>
      </c>
      <c r="R50" s="4" t="s">
        <v>334</v>
      </c>
      <c r="S50" s="374">
        <v>3</v>
      </c>
    </row>
    <row r="51" spans="1:26" x14ac:dyDescent="0.2">
      <c r="A51" s="448" t="s">
        <v>287</v>
      </c>
      <c r="B51" s="446" t="str">
        <f>CHOOSE(C51,"SINGLE", IF(Vout2_actual&gt;0, "DUAL", "BIPOLAR"))</f>
        <v>SINGLE</v>
      </c>
      <c r="C51" s="385">
        <v>1</v>
      </c>
      <c r="D51" s="8"/>
      <c r="E51" s="8"/>
      <c r="G51" s="80">
        <f>TC</f>
        <v>1</v>
      </c>
      <c r="I51" s="381"/>
      <c r="J51" s="8"/>
      <c r="O51" s="25"/>
      <c r="Q51" s="402" t="s">
        <v>338</v>
      </c>
      <c r="R51" s="4" t="s">
        <v>335</v>
      </c>
      <c r="S51" s="374">
        <v>4</v>
      </c>
    </row>
    <row r="52" spans="1:26" x14ac:dyDescent="0.2">
      <c r="A52" s="383"/>
      <c r="B52" s="4" t="b">
        <f>CHOOSE(C51, TRUE, FALSE)</f>
        <v>1</v>
      </c>
      <c r="C52" s="80" t="str">
        <f>CHOOSE(C51,"1", IF(Vout2&gt;0, "2", "3"))</f>
        <v>1</v>
      </c>
      <c r="O52" s="25"/>
      <c r="Q52" s="402" t="s">
        <v>342</v>
      </c>
      <c r="R52" s="4" t="s">
        <v>341</v>
      </c>
      <c r="S52" s="374">
        <v>5</v>
      </c>
    </row>
    <row r="53" spans="1:26" x14ac:dyDescent="0.2">
      <c r="O53" s="25"/>
      <c r="Q53" s="450" t="s">
        <v>336</v>
      </c>
      <c r="R53" s="456" t="str">
        <f>CHOOSE(S53,"6.3V","10V","16V","25V","50V")</f>
        <v>50V</v>
      </c>
      <c r="S53" s="470">
        <f>IF(Vout&lt;=5, 1, IF(Vout&lt;=8, 2, IF(Vout&lt;=12, 3, IF(Vout&lt;=20, 4, 5))))</f>
        <v>5</v>
      </c>
    </row>
    <row r="54" spans="1:26" x14ac:dyDescent="0.2">
      <c r="A54" s="390" t="s">
        <v>189</v>
      </c>
      <c r="B54" s="113" t="s">
        <v>370</v>
      </c>
      <c r="C54" s="445">
        <v>1</v>
      </c>
      <c r="D54" s="8"/>
      <c r="E54" s="163" t="s">
        <v>322</v>
      </c>
      <c r="F54" s="486" t="s">
        <v>552</v>
      </c>
      <c r="G54" s="166">
        <v>1</v>
      </c>
      <c r="H54" s="384" t="s">
        <v>298</v>
      </c>
      <c r="I54" s="79" t="s">
        <v>552</v>
      </c>
      <c r="J54" s="166">
        <v>1</v>
      </c>
      <c r="L54" s="160" t="s">
        <v>320</v>
      </c>
      <c r="M54" s="166">
        <v>1</v>
      </c>
      <c r="O54" s="25"/>
    </row>
    <row r="55" spans="1:26" x14ac:dyDescent="0.2">
      <c r="A55" s="391"/>
      <c r="B55" s="113" t="s">
        <v>371</v>
      </c>
      <c r="C55" s="445">
        <v>2</v>
      </c>
      <c r="D55" s="8"/>
      <c r="F55" s="486" t="s">
        <v>553</v>
      </c>
      <c r="G55" s="166">
        <v>2</v>
      </c>
      <c r="H55" s="38"/>
      <c r="I55" s="79" t="s">
        <v>674</v>
      </c>
      <c r="J55" s="166">
        <v>2</v>
      </c>
      <c r="L55" s="160" t="s">
        <v>321</v>
      </c>
      <c r="M55" s="166">
        <v>2</v>
      </c>
      <c r="O55" s="25"/>
      <c r="R55" s="4" t="s">
        <v>654</v>
      </c>
      <c r="S55" s="4"/>
      <c r="T55" s="4" t="s">
        <v>116</v>
      </c>
      <c r="U55" s="4" t="s">
        <v>655</v>
      </c>
    </row>
    <row r="56" spans="1:26" x14ac:dyDescent="0.2">
      <c r="A56" s="449" t="s">
        <v>288</v>
      </c>
      <c r="B56" s="446" t="str">
        <f>CHOOSE(C56, "YES", "NO")</f>
        <v>YES</v>
      </c>
      <c r="C56" s="385">
        <v>1</v>
      </c>
      <c r="D56" s="8"/>
      <c r="E56" s="450" t="s">
        <v>308</v>
      </c>
      <c r="F56" s="447" t="str">
        <f>CHOOSE(G56, "UVLOadj", "UVLOint")</f>
        <v>UVLOadj</v>
      </c>
      <c r="G56" s="381">
        <v>1</v>
      </c>
      <c r="H56" s="451" t="s">
        <v>289</v>
      </c>
      <c r="I56" s="386" t="str">
        <f>CHOOSE(J56, "SSadj", "SSint")</f>
        <v>SSadj</v>
      </c>
      <c r="J56" s="381">
        <v>1</v>
      </c>
      <c r="L56" s="382" t="s">
        <v>300</v>
      </c>
      <c r="M56" s="381">
        <v>1</v>
      </c>
      <c r="O56" s="25"/>
      <c r="R56" s="469" t="s">
        <v>345</v>
      </c>
      <c r="S56" s="374">
        <v>1</v>
      </c>
      <c r="T56" s="78" t="s">
        <v>351</v>
      </c>
      <c r="U56" s="472">
        <v>0.5</v>
      </c>
    </row>
    <row r="57" spans="1:26" ht="13.5" thickBot="1" x14ac:dyDescent="0.25">
      <c r="A57" s="29"/>
      <c r="B57" s="30"/>
      <c r="C57" s="165"/>
      <c r="D57" s="30"/>
      <c r="E57" s="30"/>
      <c r="F57" s="30"/>
      <c r="G57" s="30"/>
      <c r="H57" s="30"/>
      <c r="I57" s="30"/>
      <c r="J57" s="30"/>
      <c r="K57" s="30"/>
      <c r="L57" s="30"/>
      <c r="M57" s="30"/>
      <c r="N57" s="30"/>
      <c r="O57" s="25"/>
      <c r="R57" s="469" t="s">
        <v>119</v>
      </c>
      <c r="S57" s="374">
        <v>2</v>
      </c>
      <c r="T57" s="78" t="s">
        <v>355</v>
      </c>
      <c r="U57" s="472">
        <v>1.3</v>
      </c>
    </row>
    <row r="58" spans="1:26" x14ac:dyDescent="0.2">
      <c r="A58" s="8"/>
      <c r="B58" s="8" t="b">
        <f>(CONFIG="2")</f>
        <v>0</v>
      </c>
      <c r="C58" s="41" t="str">
        <f>CONFIG</f>
        <v>1</v>
      </c>
      <c r="D58" s="8"/>
      <c r="E58" s="8"/>
      <c r="F58" s="8"/>
      <c r="G58" s="8"/>
      <c r="H58" s="8"/>
      <c r="I58" s="8"/>
      <c r="R58" s="469" t="s">
        <v>346</v>
      </c>
      <c r="S58" s="374">
        <v>3</v>
      </c>
      <c r="T58" s="78" t="s">
        <v>356</v>
      </c>
      <c r="U58" s="472">
        <v>2.5</v>
      </c>
    </row>
    <row r="59" spans="1:26" ht="16.5" thickBot="1" x14ac:dyDescent="0.3">
      <c r="A59" s="52" t="s">
        <v>576</v>
      </c>
      <c r="B59" s="41"/>
      <c r="C59" s="41"/>
      <c r="E59" s="8"/>
      <c r="F59" s="8"/>
      <c r="G59" s="8"/>
      <c r="H59" s="8"/>
      <c r="I59" s="8"/>
      <c r="R59" s="469" t="s">
        <v>347</v>
      </c>
      <c r="S59" s="374">
        <v>4</v>
      </c>
      <c r="T59" s="78" t="s">
        <v>354</v>
      </c>
      <c r="U59" s="472">
        <v>5.0999999999999996</v>
      </c>
    </row>
    <row r="60" spans="1:26" x14ac:dyDescent="0.2">
      <c r="A60" s="111"/>
      <c r="B60" s="615"/>
      <c r="C60" s="616"/>
      <c r="D60" s="158"/>
      <c r="E60" s="81"/>
      <c r="F60" s="32"/>
      <c r="G60" s="32"/>
      <c r="H60" s="32"/>
      <c r="I60" s="33">
        <v>1</v>
      </c>
      <c r="R60" s="469" t="s">
        <v>348</v>
      </c>
      <c r="S60" s="374">
        <v>5</v>
      </c>
      <c r="T60" s="78" t="s">
        <v>357</v>
      </c>
      <c r="U60" s="472">
        <v>8</v>
      </c>
    </row>
    <row r="61" spans="1:26" x14ac:dyDescent="0.2">
      <c r="A61" s="112" t="s">
        <v>150</v>
      </c>
      <c r="B61" s="167">
        <f>Nps*(Vout+Vfwd2)/(VIN_min+Nps*(Vout+Vfwd2))</f>
        <v>0.70845481049562686</v>
      </c>
      <c r="C61" s="8"/>
      <c r="D61" t="b">
        <f>B61&gt;0.75</f>
        <v>0</v>
      </c>
      <c r="E61" s="79"/>
      <c r="F61" s="8"/>
      <c r="G61" s="8"/>
      <c r="H61" s="8"/>
      <c r="I61" s="26">
        <v>1</v>
      </c>
      <c r="Q61" s="450" t="s">
        <v>349</v>
      </c>
      <c r="R61" s="456" t="str">
        <f>CHOOSE(S61,"0402","0603","0805","1206","1210")</f>
        <v>1210</v>
      </c>
      <c r="S61" s="470">
        <v>5</v>
      </c>
      <c r="T61" s="456" t="str">
        <f>CHOOSE(S61,T56,T57, T58,T59,T60)</f>
        <v>3.2 x 2.5</v>
      </c>
    </row>
    <row r="62" spans="1:26" x14ac:dyDescent="0.2">
      <c r="A62" s="112" t="s">
        <v>158</v>
      </c>
      <c r="B62" s="167">
        <f>Nps*(Vout+Vfwd1)/(VIN_nom+Nps*(Vout+Vfwd1))</f>
        <v>0.66896551724137931</v>
      </c>
      <c r="C62" s="8"/>
      <c r="F62" s="8"/>
      <c r="G62" s="8"/>
      <c r="H62" s="8"/>
      <c r="I62" s="26"/>
    </row>
    <row r="63" spans="1:26" x14ac:dyDescent="0.2">
      <c r="A63" s="112" t="s">
        <v>151</v>
      </c>
      <c r="B63" s="167">
        <f>Nps*(Vout+Vfwd1)/(VIN_max+Nps*(Vout+Vfwd1))</f>
        <v>0.61783439490445857</v>
      </c>
      <c r="C63" s="8"/>
      <c r="E63" s="79"/>
      <c r="F63" s="8"/>
      <c r="G63" s="8"/>
      <c r="H63" s="8"/>
      <c r="I63" s="26"/>
    </row>
    <row r="64" spans="1:26" x14ac:dyDescent="0.2">
      <c r="A64" s="78"/>
      <c r="B64" s="8"/>
      <c r="C64" s="8"/>
      <c r="D64" s="8"/>
      <c r="E64" s="79"/>
      <c r="F64" s="8"/>
      <c r="G64" s="8"/>
      <c r="H64" s="8"/>
      <c r="I64" s="26"/>
      <c r="R64" s="4" t="s">
        <v>654</v>
      </c>
      <c r="S64" s="4"/>
      <c r="T64" s="4" t="s">
        <v>116</v>
      </c>
      <c r="U64" s="4" t="s">
        <v>655</v>
      </c>
      <c r="W64" s="4" t="s">
        <v>654</v>
      </c>
      <c r="X64" s="4"/>
      <c r="Y64" s="4" t="s">
        <v>116</v>
      </c>
      <c r="Z64" s="4" t="s">
        <v>655</v>
      </c>
    </row>
    <row r="65" spans="1:26" x14ac:dyDescent="0.2">
      <c r="A65" s="112"/>
      <c r="B65" s="661"/>
      <c r="C65" s="79"/>
      <c r="D65" s="79"/>
      <c r="F65" s="8"/>
      <c r="G65" s="8"/>
      <c r="H65" s="8"/>
      <c r="I65" s="26"/>
      <c r="R65" s="78" t="s">
        <v>352</v>
      </c>
      <c r="S65" s="374">
        <v>1</v>
      </c>
      <c r="T65" s="486" t="s">
        <v>640</v>
      </c>
      <c r="U65" s="472">
        <v>36</v>
      </c>
      <c r="W65" s="78" t="s">
        <v>661</v>
      </c>
      <c r="X65" s="374">
        <v>1</v>
      </c>
      <c r="Y65" s="78" t="s">
        <v>355</v>
      </c>
      <c r="Z65">
        <v>1.3</v>
      </c>
    </row>
    <row r="66" spans="1:26" x14ac:dyDescent="0.2">
      <c r="A66" s="112"/>
      <c r="B66" s="661"/>
      <c r="C66" s="8"/>
      <c r="D66" s="79"/>
      <c r="F66" s="8"/>
      <c r="G66" s="8"/>
      <c r="H66" s="8"/>
      <c r="I66" s="26"/>
      <c r="R66" s="78" t="s">
        <v>353</v>
      </c>
      <c r="S66" s="374">
        <v>2</v>
      </c>
      <c r="T66" s="486" t="s">
        <v>639</v>
      </c>
      <c r="U66" s="472">
        <v>49</v>
      </c>
      <c r="W66" s="78" t="s">
        <v>651</v>
      </c>
      <c r="X66" s="374">
        <v>2</v>
      </c>
      <c r="Y66" s="78" t="s">
        <v>660</v>
      </c>
      <c r="Z66">
        <v>3.2</v>
      </c>
    </row>
    <row r="67" spans="1:26" x14ac:dyDescent="0.2">
      <c r="A67" s="112"/>
      <c r="B67" s="661"/>
      <c r="C67" s="79"/>
      <c r="D67" s="79"/>
      <c r="F67" s="8"/>
      <c r="G67" s="8"/>
      <c r="H67" s="8"/>
      <c r="I67" s="26"/>
      <c r="R67" s="78" t="s">
        <v>630</v>
      </c>
      <c r="S67" s="374">
        <v>3</v>
      </c>
      <c r="T67" s="486" t="s">
        <v>638</v>
      </c>
      <c r="U67" s="472">
        <v>64</v>
      </c>
      <c r="W67" s="78" t="s">
        <v>652</v>
      </c>
      <c r="X67" s="374">
        <v>3</v>
      </c>
      <c r="Y67" s="78" t="s">
        <v>659</v>
      </c>
      <c r="Z67">
        <v>6.5</v>
      </c>
    </row>
    <row r="68" spans="1:26" x14ac:dyDescent="0.2">
      <c r="A68" s="78"/>
      <c r="B68" s="12"/>
      <c r="C68"/>
      <c r="I68" s="26">
        <v>1</v>
      </c>
      <c r="R68" s="78" t="s">
        <v>631</v>
      </c>
      <c r="S68" s="374">
        <v>4</v>
      </c>
      <c r="T68" s="486" t="s">
        <v>637</v>
      </c>
      <c r="U68" s="472">
        <v>81</v>
      </c>
      <c r="W68" s="78" t="s">
        <v>653</v>
      </c>
      <c r="X68" s="374">
        <v>4</v>
      </c>
      <c r="Y68" s="78" t="s">
        <v>658</v>
      </c>
      <c r="Z68">
        <v>12.5</v>
      </c>
    </row>
    <row r="69" spans="1:26" x14ac:dyDescent="0.2">
      <c r="A69" s="113"/>
      <c r="B69" s="662"/>
      <c r="C69" s="79"/>
      <c r="D69" s="79"/>
      <c r="E69" s="79"/>
      <c r="F69" s="8"/>
      <c r="G69" s="8"/>
      <c r="H69" s="8"/>
      <c r="I69" s="26"/>
      <c r="R69" s="78" t="s">
        <v>632</v>
      </c>
      <c r="S69" s="374">
        <v>5</v>
      </c>
      <c r="T69" s="486" t="s">
        <v>636</v>
      </c>
      <c r="U69" s="472">
        <v>100</v>
      </c>
      <c r="W69" s="450" t="s">
        <v>656</v>
      </c>
    </row>
    <row r="70" spans="1:26" x14ac:dyDescent="0.2">
      <c r="A70" s="113"/>
      <c r="B70" s="662"/>
      <c r="C70" s="8"/>
      <c r="D70" s="79"/>
      <c r="E70" s="79"/>
      <c r="F70" s="8"/>
      <c r="G70" s="8"/>
      <c r="H70" s="8"/>
      <c r="I70" s="26"/>
      <c r="R70" s="78" t="s">
        <v>633</v>
      </c>
      <c r="S70" s="374">
        <v>6</v>
      </c>
      <c r="T70" s="486" t="s">
        <v>635</v>
      </c>
      <c r="U70" s="472">
        <v>120</v>
      </c>
    </row>
    <row r="71" spans="1:26" x14ac:dyDescent="0.2">
      <c r="A71" s="113"/>
      <c r="B71" s="662"/>
      <c r="C71" s="79"/>
      <c r="D71" s="79"/>
      <c r="E71" s="79"/>
      <c r="F71" s="8"/>
      <c r="G71" s="8"/>
      <c r="H71" s="8"/>
      <c r="I71" s="26"/>
      <c r="R71" s="78" t="s">
        <v>634</v>
      </c>
      <c r="S71" s="374">
        <v>7</v>
      </c>
      <c r="T71" s="486" t="s">
        <v>641</v>
      </c>
      <c r="U71" s="472">
        <v>143</v>
      </c>
    </row>
    <row r="72" spans="1:26" ht="15.75" x14ac:dyDescent="0.3">
      <c r="A72" s="78"/>
      <c r="B72" s="8"/>
      <c r="C72" s="79"/>
      <c r="D72" s="8"/>
      <c r="E72" s="79"/>
      <c r="F72" s="8"/>
      <c r="G72" s="8"/>
      <c r="H72" s="8"/>
      <c r="I72" s="26"/>
      <c r="K72" s="78" t="s">
        <v>324</v>
      </c>
      <c r="Q72" s="450" t="s">
        <v>464</v>
      </c>
    </row>
    <row r="73" spans="1:26" x14ac:dyDescent="0.2">
      <c r="A73" s="112" t="s">
        <v>152</v>
      </c>
      <c r="B73" s="43">
        <f>'Design Converter'!L7/1000000</f>
        <v>4.6999999999999997E-5</v>
      </c>
      <c r="C73" s="8" t="s">
        <v>11</v>
      </c>
      <c r="D73" s="79" t="s">
        <v>463</v>
      </c>
      <c r="F73" s="8"/>
      <c r="G73" s="8"/>
      <c r="H73" s="8"/>
      <c r="I73" s="26"/>
    </row>
    <row r="74" spans="1:26" x14ac:dyDescent="0.2">
      <c r="A74" s="112" t="s">
        <v>687</v>
      </c>
      <c r="B74" s="135">
        <f>'Design Converter'!L11</f>
        <v>370</v>
      </c>
      <c r="C74" s="8" t="s">
        <v>688</v>
      </c>
      <c r="D74" s="79"/>
      <c r="F74" s="8"/>
      <c r="G74" s="8"/>
      <c r="H74" s="8"/>
      <c r="I74" s="26"/>
    </row>
    <row r="75" spans="1:26" x14ac:dyDescent="0.2">
      <c r="A75" s="112" t="s">
        <v>396</v>
      </c>
      <c r="B75" s="11">
        <f>'Design Converter'!L8/1000</f>
        <v>0.2</v>
      </c>
      <c r="C75" s="115" t="s">
        <v>45</v>
      </c>
      <c r="D75" s="79" t="s">
        <v>461</v>
      </c>
      <c r="F75" s="8"/>
      <c r="G75" s="8"/>
      <c r="H75" s="8"/>
      <c r="I75" s="26"/>
    </row>
    <row r="76" spans="1:26" x14ac:dyDescent="0.2">
      <c r="A76" s="112" t="s">
        <v>459</v>
      </c>
      <c r="B76" s="11">
        <f>'Design Converter'!L9/1000</f>
        <v>0.2</v>
      </c>
      <c r="C76" s="115" t="s">
        <v>45</v>
      </c>
      <c r="D76" s="79" t="s">
        <v>462</v>
      </c>
      <c r="F76" s="8"/>
      <c r="G76" s="8"/>
      <c r="H76" s="8"/>
      <c r="I76" s="26">
        <v>2</v>
      </c>
    </row>
    <row r="77" spans="1:26" x14ac:dyDescent="0.2">
      <c r="A77" s="112" t="s">
        <v>460</v>
      </c>
      <c r="B77" s="11">
        <f>'Design Converter'!L10/1000</f>
        <v>0.1</v>
      </c>
      <c r="C77" s="115" t="s">
        <v>45</v>
      </c>
      <c r="D77" s="79" t="s">
        <v>558</v>
      </c>
      <c r="E77" s="79"/>
      <c r="F77" s="8"/>
      <c r="G77" s="8"/>
      <c r="H77" s="8"/>
      <c r="I77" s="26">
        <v>1</v>
      </c>
    </row>
    <row r="78" spans="1:26" x14ac:dyDescent="0.2">
      <c r="A78" s="112"/>
      <c r="B78" s="8"/>
      <c r="C78" s="8"/>
      <c r="D78" s="8"/>
      <c r="E78" s="8"/>
      <c r="F78" s="8"/>
      <c r="G78" s="8"/>
      <c r="H78" s="8"/>
      <c r="I78" s="26"/>
    </row>
    <row r="79" spans="1:26" ht="15.75" customHeight="1" x14ac:dyDescent="0.2">
      <c r="A79" s="79" t="s">
        <v>557</v>
      </c>
      <c r="B79" s="197">
        <v>100</v>
      </c>
      <c r="C79" s="113" t="s">
        <v>102</v>
      </c>
      <c r="D79" s="79"/>
      <c r="E79" s="8"/>
      <c r="F79" s="8"/>
      <c r="H79" s="8"/>
      <c r="I79" s="26"/>
    </row>
    <row r="80" spans="1:26" x14ac:dyDescent="0.2">
      <c r="A80" s="112" t="s">
        <v>554</v>
      </c>
      <c r="B80" s="189">
        <f>Rdcr_pri*(1+0.0039*(B79-25))</f>
        <v>0.25850000000000001</v>
      </c>
      <c r="C80" s="115" t="s">
        <v>45</v>
      </c>
      <c r="D80" s="8"/>
      <c r="H80" s="8"/>
      <c r="I80" s="26"/>
    </row>
    <row r="81" spans="1:12" x14ac:dyDescent="0.2">
      <c r="A81" s="112" t="s">
        <v>555</v>
      </c>
      <c r="B81" s="189">
        <f>Rdcr_sec*(1+0.0039*(B79-25))</f>
        <v>0.25850000000000001</v>
      </c>
      <c r="C81" s="115" t="s">
        <v>45</v>
      </c>
      <c r="D81" s="8"/>
      <c r="H81" s="8"/>
      <c r="I81" s="26"/>
    </row>
    <row r="82" spans="1:12" x14ac:dyDescent="0.2">
      <c r="A82" s="112" t="s">
        <v>556</v>
      </c>
      <c r="B82" s="189">
        <f>Rdcr_sec2*(1+0.0039*(B79-25))</f>
        <v>0.12925</v>
      </c>
      <c r="C82" s="115" t="s">
        <v>45</v>
      </c>
      <c r="D82" s="8"/>
      <c r="H82" s="8"/>
      <c r="I82" s="26"/>
    </row>
    <row r="83" spans="1:12" x14ac:dyDescent="0.2">
      <c r="I83" s="26"/>
    </row>
    <row r="84" spans="1:12" x14ac:dyDescent="0.2">
      <c r="A84" t="s">
        <v>686</v>
      </c>
      <c r="B84" s="654">
        <f>(Vout+Vfwd1)*Nps*0.0000005/Isw_min*1000000</f>
        <v>41.810344827586214</v>
      </c>
      <c r="C84" s="4" t="s">
        <v>11</v>
      </c>
      <c r="I84" s="26"/>
    </row>
    <row r="85" spans="1:12" ht="13.5" thickBot="1" x14ac:dyDescent="0.25">
      <c r="A85" s="171"/>
      <c r="B85" s="172"/>
      <c r="C85" s="30"/>
      <c r="D85" s="30"/>
      <c r="E85" s="30"/>
      <c r="F85" s="30"/>
      <c r="G85" s="30"/>
      <c r="H85" s="30"/>
      <c r="I85" s="31"/>
    </row>
    <row r="86" spans="1:12" x14ac:dyDescent="0.2">
      <c r="A86" s="41"/>
      <c r="B86" s="40"/>
      <c r="C86" s="40"/>
      <c r="D86" s="8"/>
      <c r="E86" s="8"/>
      <c r="F86" s="8"/>
      <c r="G86" s="8"/>
      <c r="H86" s="8"/>
      <c r="I86" s="8"/>
    </row>
    <row r="88" spans="1:12" ht="16.5" thickBot="1" x14ac:dyDescent="0.3">
      <c r="A88" s="52" t="s">
        <v>577</v>
      </c>
      <c r="B88" s="8"/>
      <c r="D88" s="41"/>
      <c r="E88" s="8"/>
      <c r="F88" s="8"/>
      <c r="G88" s="8"/>
      <c r="H88" s="8"/>
      <c r="I88" s="8"/>
    </row>
    <row r="89" spans="1:12" x14ac:dyDescent="0.2">
      <c r="A89" s="111" t="s">
        <v>165</v>
      </c>
      <c r="B89" s="426"/>
      <c r="C89" s="170" t="s">
        <v>1</v>
      </c>
      <c r="D89" s="81" t="s">
        <v>164</v>
      </c>
      <c r="E89" s="32"/>
      <c r="F89" s="32"/>
      <c r="G89" s="32"/>
      <c r="H89" s="32"/>
      <c r="I89" s="33"/>
      <c r="L89" s="6"/>
    </row>
    <row r="90" spans="1:12" x14ac:dyDescent="0.2">
      <c r="A90" s="112" t="s">
        <v>166</v>
      </c>
      <c r="B90" s="427"/>
      <c r="C90" s="113" t="s">
        <v>1</v>
      </c>
      <c r="D90" s="8"/>
      <c r="E90" s="79"/>
      <c r="F90" s="8"/>
      <c r="G90" s="8"/>
      <c r="H90" s="8"/>
      <c r="I90" s="26"/>
      <c r="L90" s="6"/>
    </row>
    <row r="91" spans="1:12" x14ac:dyDescent="0.2">
      <c r="A91" s="112" t="s">
        <v>167</v>
      </c>
      <c r="B91" s="427"/>
      <c r="C91" s="113" t="s">
        <v>1</v>
      </c>
      <c r="D91" s="8"/>
      <c r="E91" s="79"/>
      <c r="F91" s="8"/>
      <c r="G91" s="8"/>
      <c r="H91" s="8"/>
      <c r="I91" s="26"/>
      <c r="L91" s="6"/>
    </row>
    <row r="92" spans="1:12" x14ac:dyDescent="0.2">
      <c r="A92" s="112"/>
      <c r="B92" s="173"/>
      <c r="C92" s="113"/>
      <c r="D92" s="8"/>
      <c r="E92" s="79"/>
      <c r="F92" s="8"/>
      <c r="G92" s="8"/>
      <c r="H92" s="8"/>
      <c r="I92" s="26"/>
      <c r="L92" s="6"/>
    </row>
    <row r="93" spans="1:12" x14ac:dyDescent="0.2">
      <c r="A93" s="112" t="s">
        <v>175</v>
      </c>
      <c r="B93" s="568">
        <f>Vout_ripple</f>
        <v>240</v>
      </c>
      <c r="C93" s="113" t="s">
        <v>149</v>
      </c>
      <c r="D93" s="79" t="s">
        <v>613</v>
      </c>
      <c r="F93" s="8"/>
      <c r="G93" s="8"/>
      <c r="H93" s="8"/>
      <c r="I93" s="26"/>
      <c r="L93" s="6"/>
    </row>
    <row r="94" spans="1:12" x14ac:dyDescent="0.2">
      <c r="A94" s="511" t="s">
        <v>12</v>
      </c>
      <c r="B94" s="198">
        <f>MAX(4.7, CHOOSE(MODE, 'Calculations - Single'!BA105, 'Calculations - Dual'!AW105))</f>
        <v>4.7</v>
      </c>
      <c r="C94" s="207" t="s">
        <v>97</v>
      </c>
      <c r="D94" s="79" t="s">
        <v>612</v>
      </c>
      <c r="E94" s="79"/>
      <c r="F94" s="8"/>
      <c r="G94" s="8"/>
      <c r="H94" s="8"/>
      <c r="I94" s="26"/>
    </row>
    <row r="95" spans="1:12" x14ac:dyDescent="0.2">
      <c r="A95" s="112" t="s">
        <v>14</v>
      </c>
      <c r="B95" s="612">
        <f>'Design Converter'!E21</f>
        <v>100</v>
      </c>
      <c r="C95" s="207" t="s">
        <v>97</v>
      </c>
      <c r="D95" s="79" t="s">
        <v>168</v>
      </c>
      <c r="F95" s="8"/>
      <c r="G95" s="8"/>
      <c r="H95" s="8"/>
      <c r="I95" s="26"/>
    </row>
    <row r="96" spans="1:12" x14ac:dyDescent="0.2">
      <c r="A96" s="206" t="s">
        <v>182</v>
      </c>
      <c r="B96" s="569">
        <f>(Vripple1_spec-Iout*B98/Cout*1000)/Iout</f>
        <v>2154.701162465677</v>
      </c>
      <c r="C96" s="115" t="s">
        <v>259</v>
      </c>
      <c r="D96" s="79" t="s">
        <v>107</v>
      </c>
      <c r="F96" s="8"/>
      <c r="G96" s="8"/>
      <c r="H96" s="8"/>
      <c r="I96" s="26"/>
    </row>
    <row r="97" spans="1:9" x14ac:dyDescent="0.2">
      <c r="A97" s="112" t="s">
        <v>54</v>
      </c>
      <c r="B97" s="199">
        <f>'Design Converter'!E22</f>
        <v>3</v>
      </c>
      <c r="C97" s="115" t="s">
        <v>259</v>
      </c>
      <c r="D97" s="79" t="s">
        <v>108</v>
      </c>
      <c r="F97" s="8"/>
      <c r="G97" s="8"/>
      <c r="H97" s="8"/>
      <c r="I97" s="26"/>
    </row>
    <row r="98" spans="1:9" x14ac:dyDescent="0.2">
      <c r="A98" s="112" t="s">
        <v>449</v>
      </c>
      <c r="B98" s="198">
        <f>CHOOSE(MODE, 'Calculations - Single'!AT105, 'Calculations - Dual'!AR105)</f>
        <v>2.7117019352504976</v>
      </c>
      <c r="C98" s="207" t="s">
        <v>248</v>
      </c>
      <c r="D98" s="79"/>
      <c r="F98" s="8"/>
      <c r="G98" s="8"/>
      <c r="H98" s="8"/>
      <c r="I98" s="26"/>
    </row>
    <row r="99" spans="1:9" x14ac:dyDescent="0.2">
      <c r="A99" s="35" t="s">
        <v>448</v>
      </c>
      <c r="B99" s="609">
        <f>Iout*B98/Cout*1000+Iout*CoutEsr</f>
        <v>3.3128721287755472</v>
      </c>
      <c r="C99" s="79" t="s">
        <v>454</v>
      </c>
      <c r="D99" s="79" t="s">
        <v>615</v>
      </c>
      <c r="F99" s="8"/>
      <c r="G99" s="8"/>
      <c r="H99" s="456" t="s">
        <v>580</v>
      </c>
      <c r="I99" s="26"/>
    </row>
    <row r="100" spans="1:9" x14ac:dyDescent="0.2">
      <c r="A100" s="35"/>
      <c r="B100" s="198"/>
      <c r="C100" s="79"/>
      <c r="D100" s="79"/>
      <c r="F100" s="8"/>
      <c r="G100" s="8"/>
      <c r="H100" s="8"/>
      <c r="I100" s="26"/>
    </row>
    <row r="101" spans="1:9" x14ac:dyDescent="0.2">
      <c r="A101" s="35"/>
      <c r="B101" s="198"/>
      <c r="C101" s="79"/>
      <c r="D101" s="79"/>
      <c r="F101" s="8"/>
      <c r="G101" s="8"/>
      <c r="H101" s="8"/>
      <c r="I101" s="26"/>
    </row>
    <row r="102" spans="1:9" x14ac:dyDescent="0.2">
      <c r="A102" s="617" t="s">
        <v>578</v>
      </c>
      <c r="B102" s="198"/>
      <c r="C102" s="207"/>
      <c r="D102" s="79"/>
      <c r="F102" s="8"/>
      <c r="G102" s="8"/>
      <c r="H102" s="8"/>
      <c r="I102" s="26"/>
    </row>
    <row r="103" spans="1:9" x14ac:dyDescent="0.2">
      <c r="A103" s="112" t="s">
        <v>559</v>
      </c>
      <c r="B103" s="568">
        <f>Vout_ripple2</f>
        <v>120</v>
      </c>
      <c r="C103" s="113" t="s">
        <v>149</v>
      </c>
      <c r="D103" s="79" t="s">
        <v>616</v>
      </c>
      <c r="F103" s="8"/>
      <c r="G103" s="8"/>
      <c r="H103" s="8"/>
      <c r="I103" s="26"/>
    </row>
    <row r="104" spans="1:9" x14ac:dyDescent="0.2">
      <c r="A104" s="511" t="s">
        <v>561</v>
      </c>
      <c r="B104" s="198">
        <f>MAX(4.7, 'Calculations - Dual'!AX105)</f>
        <v>8.6281425212515845</v>
      </c>
      <c r="C104" s="207" t="s">
        <v>97</v>
      </c>
      <c r="D104" s="79" t="s">
        <v>612</v>
      </c>
      <c r="F104" s="8"/>
      <c r="G104" s="8"/>
      <c r="H104" s="8"/>
      <c r="I104" s="26"/>
    </row>
    <row r="105" spans="1:9" x14ac:dyDescent="0.2">
      <c r="A105" s="112" t="s">
        <v>560</v>
      </c>
      <c r="B105" s="612">
        <f>'Design Converter'!L21</f>
        <v>47</v>
      </c>
      <c r="C105" s="207" t="s">
        <v>97</v>
      </c>
      <c r="D105" s="79" t="s">
        <v>168</v>
      </c>
      <c r="F105" s="8"/>
      <c r="G105" s="8"/>
      <c r="H105" s="8"/>
      <c r="I105" s="26"/>
    </row>
    <row r="106" spans="1:9" x14ac:dyDescent="0.2">
      <c r="A106" s="206" t="s">
        <v>562</v>
      </c>
      <c r="B106" s="569">
        <f>(Vout_ripple2-Iout2*B108/Cout2*1000)/Iout2</f>
        <v>435.34801505837066</v>
      </c>
      <c r="C106" s="115" t="s">
        <v>259</v>
      </c>
      <c r="D106" s="79" t="s">
        <v>107</v>
      </c>
      <c r="F106" s="8"/>
      <c r="G106" s="8"/>
      <c r="H106" s="456" t="s">
        <v>579</v>
      </c>
      <c r="I106" s="26"/>
    </row>
    <row r="107" spans="1:9" x14ac:dyDescent="0.2">
      <c r="A107" s="112" t="s">
        <v>563</v>
      </c>
      <c r="B107" s="199">
        <f>'Design Converter'!L22</f>
        <v>3</v>
      </c>
      <c r="C107" s="115" t="s">
        <v>259</v>
      </c>
      <c r="D107" s="79" t="s">
        <v>108</v>
      </c>
      <c r="F107" s="8"/>
      <c r="G107" s="8"/>
      <c r="I107" s="26"/>
    </row>
    <row r="108" spans="1:9" x14ac:dyDescent="0.2">
      <c r="A108" s="112" t="s">
        <v>449</v>
      </c>
      <c r="B108" s="198">
        <f>'Calculations - Dual'!AR105</f>
        <v>7.7386432922565769</v>
      </c>
      <c r="C108" s="207" t="s">
        <v>248</v>
      </c>
      <c r="D108" s="79"/>
      <c r="F108" s="8"/>
      <c r="G108" s="8"/>
      <c r="H108" s="456" t="s">
        <v>579</v>
      </c>
      <c r="I108" s="26"/>
    </row>
    <row r="109" spans="1:9" x14ac:dyDescent="0.2">
      <c r="A109" s="35" t="s">
        <v>448</v>
      </c>
      <c r="B109" s="609">
        <f>Iout2*B108/Cout2*1000+Iout2*CoutEsr2</f>
        <v>33.530396988325862</v>
      </c>
      <c r="C109" s="79" t="s">
        <v>454</v>
      </c>
      <c r="D109" s="79" t="s">
        <v>614</v>
      </c>
      <c r="F109" s="8"/>
      <c r="G109" s="8"/>
      <c r="H109" s="8"/>
      <c r="I109" s="26"/>
    </row>
    <row r="110" spans="1:9" x14ac:dyDescent="0.2">
      <c r="A110" s="41"/>
      <c r="B110" s="198"/>
      <c r="C110" s="79"/>
      <c r="D110" s="79"/>
      <c r="F110" s="8"/>
      <c r="G110" s="8"/>
      <c r="H110" s="8"/>
      <c r="I110" s="26"/>
    </row>
    <row r="111" spans="1:9" ht="13.5" thickBot="1" x14ac:dyDescent="0.25">
      <c r="A111" s="30"/>
      <c r="B111" s="30"/>
      <c r="C111" s="30"/>
      <c r="D111" s="30"/>
      <c r="E111" s="30"/>
      <c r="F111" s="30"/>
      <c r="G111" s="30"/>
      <c r="H111" s="30"/>
      <c r="I111" s="31"/>
    </row>
    <row r="113" spans="1:9" ht="13.5" thickBot="1" x14ac:dyDescent="0.25">
      <c r="A113" s="8"/>
      <c r="B113" s="8"/>
      <c r="C113" s="41"/>
      <c r="D113" s="8"/>
      <c r="E113" s="8"/>
      <c r="F113" s="8"/>
      <c r="G113" s="8"/>
      <c r="H113" s="8"/>
      <c r="I113" s="8"/>
    </row>
    <row r="114" spans="1:9" ht="15.75" x14ac:dyDescent="0.25">
      <c r="A114" s="63" t="s">
        <v>55</v>
      </c>
      <c r="B114" s="64"/>
      <c r="C114" s="174"/>
      <c r="D114" s="64"/>
      <c r="E114" s="64"/>
      <c r="F114" s="64"/>
      <c r="G114" s="64"/>
      <c r="H114" s="64"/>
      <c r="I114" s="65"/>
    </row>
    <row r="115" spans="1:9" x14ac:dyDescent="0.2">
      <c r="A115" s="571" t="s">
        <v>522</v>
      </c>
      <c r="B115" s="574">
        <f>0.05*VIN_nom</f>
        <v>0.60000000000000009</v>
      </c>
      <c r="C115" s="113" t="s">
        <v>455</v>
      </c>
      <c r="D115" s="78" t="s">
        <v>450</v>
      </c>
      <c r="E115" s="8"/>
      <c r="F115" s="8"/>
      <c r="G115" s="8"/>
      <c r="H115" s="8"/>
      <c r="I115" s="67"/>
    </row>
    <row r="116" spans="1:9" x14ac:dyDescent="0.2">
      <c r="A116" s="66"/>
      <c r="B116" s="13"/>
      <c r="C116" s="62"/>
      <c r="E116" s="8"/>
      <c r="F116" s="8"/>
      <c r="G116" s="8"/>
      <c r="H116" s="8"/>
      <c r="I116" s="67"/>
    </row>
    <row r="117" spans="1:9" x14ac:dyDescent="0.2">
      <c r="A117" s="68" t="s">
        <v>58</v>
      </c>
      <c r="B117" s="428"/>
      <c r="C117" s="207" t="s">
        <v>30</v>
      </c>
      <c r="E117" s="8"/>
      <c r="F117" s="8"/>
      <c r="G117" s="8"/>
      <c r="H117" s="8"/>
      <c r="I117" s="67"/>
    </row>
    <row r="118" spans="1:9" x14ac:dyDescent="0.2">
      <c r="A118" s="68" t="s">
        <v>98</v>
      </c>
      <c r="B118" s="191">
        <f>'Calculations - Single'!BB105</f>
        <v>0.51791594205543945</v>
      </c>
      <c r="C118" s="207" t="s">
        <v>97</v>
      </c>
      <c r="E118" s="8"/>
      <c r="F118" s="8"/>
      <c r="G118" s="8"/>
      <c r="H118" s="8"/>
      <c r="I118" s="67"/>
    </row>
    <row r="119" spans="1:9" x14ac:dyDescent="0.2">
      <c r="A119" s="206" t="s">
        <v>181</v>
      </c>
      <c r="B119" s="619">
        <f>MAX(2.2,Cinmin)</f>
        <v>2.2000000000000002</v>
      </c>
      <c r="C119" s="207" t="s">
        <v>97</v>
      </c>
      <c r="E119" s="8"/>
      <c r="F119" s="8"/>
      <c r="G119" s="8"/>
      <c r="H119" s="8"/>
      <c r="I119" s="67"/>
    </row>
    <row r="120" spans="1:9" x14ac:dyDescent="0.2">
      <c r="A120" s="68" t="s">
        <v>28</v>
      </c>
      <c r="B120" s="572">
        <f>'Design Converter'!E17</f>
        <v>22</v>
      </c>
      <c r="C120" s="207" t="s">
        <v>97</v>
      </c>
      <c r="D120" s="8" t="s">
        <v>60</v>
      </c>
      <c r="F120" s="8"/>
      <c r="G120" s="8"/>
      <c r="H120" s="8"/>
      <c r="I120" s="67"/>
    </row>
    <row r="121" spans="1:9" x14ac:dyDescent="0.2">
      <c r="A121" s="68"/>
      <c r="B121" s="570"/>
      <c r="C121" s="60"/>
      <c r="D121" s="8"/>
      <c r="F121" s="8"/>
      <c r="G121" s="8"/>
      <c r="H121" s="8"/>
      <c r="I121" s="67"/>
    </row>
    <row r="122" spans="1:9" x14ac:dyDescent="0.2">
      <c r="A122" s="69" t="s">
        <v>99</v>
      </c>
      <c r="B122" s="427">
        <f>(Vinripple1-B125*B127/Cin)/B126</f>
        <v>0.84621290080062317</v>
      </c>
      <c r="C122" s="115" t="s">
        <v>45</v>
      </c>
      <c r="D122" s="8"/>
      <c r="F122" s="8"/>
      <c r="G122" s="8"/>
      <c r="H122" s="8"/>
      <c r="I122" s="67"/>
    </row>
    <row r="123" spans="1:9" x14ac:dyDescent="0.2">
      <c r="A123" s="68" t="s">
        <v>37</v>
      </c>
      <c r="B123" s="61">
        <f>'Design Converter'!E18/1000</f>
        <v>5.0000000000000001E-3</v>
      </c>
      <c r="C123" s="115" t="s">
        <v>45</v>
      </c>
      <c r="D123" s="79" t="s">
        <v>109</v>
      </c>
      <c r="F123" s="8"/>
      <c r="G123" s="8"/>
      <c r="H123" s="8"/>
      <c r="I123" s="67"/>
    </row>
    <row r="124" spans="1:9" x14ac:dyDescent="0.2">
      <c r="A124" s="206" t="s">
        <v>183</v>
      </c>
      <c r="B124" s="375">
        <f>'Design Converter'!E18</f>
        <v>5</v>
      </c>
      <c r="C124" s="18" t="s">
        <v>162</v>
      </c>
      <c r="D124" s="79"/>
      <c r="F124" s="8"/>
      <c r="G124" s="8"/>
      <c r="H124" s="8"/>
      <c r="I124" s="67"/>
    </row>
    <row r="125" spans="1:9" x14ac:dyDescent="0.2">
      <c r="A125" s="206" t="s">
        <v>452</v>
      </c>
      <c r="B125" s="433">
        <f>Vout*Iout/VIN_nom/Efficiency</f>
        <v>0.23157894736842105</v>
      </c>
      <c r="C125" s="79" t="s">
        <v>1</v>
      </c>
      <c r="D125" s="79"/>
      <c r="F125" s="8"/>
      <c r="G125" s="8"/>
      <c r="H125" s="8"/>
      <c r="I125" s="67"/>
    </row>
    <row r="126" spans="1:9" x14ac:dyDescent="0.2">
      <c r="A126" s="206" t="s">
        <v>456</v>
      </c>
      <c r="B126" s="433">
        <f>CHOOSE(MODE, 'Calculations - Single'!AJ105, 'Calculations - Dual'!$AI$105)</f>
        <v>0.6923494302767228</v>
      </c>
      <c r="C126" s="79" t="s">
        <v>1</v>
      </c>
      <c r="D126" s="79"/>
      <c r="F126" s="8"/>
      <c r="G126" s="8"/>
      <c r="H126" s="8"/>
      <c r="I126" s="67"/>
    </row>
    <row r="127" spans="1:9" x14ac:dyDescent="0.2">
      <c r="A127" s="206" t="s">
        <v>453</v>
      </c>
      <c r="B127" s="433">
        <f>CHOOSE(MODE, 'Calculations - Single'!AU105, 'Calculations - Dual'!$AT$105)</f>
        <v>1.3418731225981841</v>
      </c>
      <c r="C127" s="207" t="s">
        <v>248</v>
      </c>
      <c r="D127" s="79"/>
      <c r="F127" s="8"/>
      <c r="G127" s="8"/>
      <c r="H127" s="8"/>
      <c r="I127" s="67"/>
    </row>
    <row r="128" spans="1:9" x14ac:dyDescent="0.2">
      <c r="A128" s="206" t="s">
        <v>451</v>
      </c>
      <c r="B128" s="191">
        <f>B125*B127/Cin+B126*RCinEsr</f>
        <v>1.7586727389259236E-2</v>
      </c>
      <c r="C128" s="207" t="s">
        <v>455</v>
      </c>
      <c r="D128" s="78" t="s">
        <v>457</v>
      </c>
      <c r="E128" s="573"/>
      <c r="F128" s="207"/>
      <c r="G128" s="8"/>
      <c r="H128" s="8"/>
      <c r="I128" s="67"/>
    </row>
    <row r="129" spans="1:9" ht="13.5" thickBot="1" x14ac:dyDescent="0.25">
      <c r="A129" s="70"/>
      <c r="B129" s="71"/>
      <c r="C129" s="71"/>
      <c r="D129" s="71"/>
      <c r="E129" s="72"/>
      <c r="F129" s="72"/>
      <c r="G129" s="72"/>
      <c r="H129" s="72"/>
      <c r="I129" s="73"/>
    </row>
    <row r="130" spans="1:9" x14ac:dyDescent="0.2">
      <c r="A130" s="8"/>
      <c r="B130" s="8"/>
      <c r="C130" s="41"/>
      <c r="D130" s="8"/>
      <c r="E130" s="8"/>
      <c r="F130" s="8"/>
      <c r="G130" s="8"/>
      <c r="H130" s="8"/>
      <c r="I130" s="8"/>
    </row>
    <row r="131" spans="1:9" ht="16.5" thickBot="1" x14ac:dyDescent="0.3">
      <c r="A131" s="52" t="s">
        <v>62</v>
      </c>
      <c r="B131" s="8"/>
      <c r="C131" s="41"/>
      <c r="D131" s="8"/>
      <c r="E131" s="8"/>
      <c r="F131" s="8"/>
      <c r="G131" s="8"/>
      <c r="H131" s="8"/>
      <c r="I131" s="8"/>
    </row>
    <row r="132" spans="1:9" x14ac:dyDescent="0.2">
      <c r="A132" s="54" t="s">
        <v>64</v>
      </c>
      <c r="B132" s="10">
        <f>'Design Converter'!E29/1000</f>
        <v>8.0000000000000002E-3</v>
      </c>
      <c r="C132" s="32" t="s">
        <v>51</v>
      </c>
      <c r="D132" s="81" t="s">
        <v>177</v>
      </c>
      <c r="E132" s="32"/>
      <c r="F132" s="32"/>
      <c r="G132" s="32"/>
      <c r="H132" s="32"/>
      <c r="I132" s="33"/>
    </row>
    <row r="133" spans="1:9" x14ac:dyDescent="0.2">
      <c r="A133" s="25" t="s">
        <v>65</v>
      </c>
      <c r="B133" s="201">
        <v>5.0000000000000004E-6</v>
      </c>
      <c r="C133" s="8" t="s">
        <v>1</v>
      </c>
      <c r="D133" s="79" t="s">
        <v>310</v>
      </c>
      <c r="E133" s="8"/>
      <c r="F133" s="8"/>
      <c r="G133" s="8"/>
      <c r="H133" s="8"/>
      <c r="I133" s="26"/>
    </row>
    <row r="134" spans="1:9" x14ac:dyDescent="0.2">
      <c r="A134" s="25" t="s">
        <v>66</v>
      </c>
      <c r="B134" s="201">
        <f>0.000005*Tss/1</f>
        <v>4.0000000000000001E-8</v>
      </c>
      <c r="C134" s="8" t="s">
        <v>13</v>
      </c>
      <c r="D134" s="79" t="s">
        <v>312</v>
      </c>
      <c r="E134" s="8"/>
      <c r="F134" s="8"/>
      <c r="G134" s="8"/>
      <c r="H134" s="8"/>
      <c r="I134" s="26"/>
    </row>
    <row r="135" spans="1:9" ht="13.5" thickBot="1" x14ac:dyDescent="0.25">
      <c r="A135" s="29" t="s">
        <v>72</v>
      </c>
      <c r="B135" s="202">
        <f>'Standard Value Calculator'!B4</f>
        <v>3.8999999999999998E-8</v>
      </c>
      <c r="C135" s="30" t="s">
        <v>13</v>
      </c>
      <c r="D135" s="82" t="s">
        <v>313</v>
      </c>
      <c r="E135" s="30"/>
      <c r="F135" s="30"/>
      <c r="G135" s="30"/>
      <c r="H135" s="30"/>
      <c r="I135" s="31"/>
    </row>
    <row r="137" spans="1:9" ht="16.5" thickBot="1" x14ac:dyDescent="0.3">
      <c r="A137" s="52" t="s">
        <v>574</v>
      </c>
      <c r="B137" s="8"/>
      <c r="C137" s="41"/>
      <c r="D137" s="8"/>
      <c r="E137" s="8"/>
      <c r="F137" s="8"/>
      <c r="G137" s="8"/>
      <c r="H137" s="8"/>
      <c r="I137" s="8"/>
    </row>
    <row r="138" spans="1:9" ht="12.75" customHeight="1" x14ac:dyDescent="0.2">
      <c r="A138" s="111"/>
      <c r="B138" s="55"/>
      <c r="C138" s="161"/>
      <c r="D138" s="81"/>
      <c r="E138" s="32"/>
      <c r="F138" s="32"/>
      <c r="G138" s="32"/>
      <c r="H138" s="32"/>
      <c r="I138" s="33"/>
    </row>
    <row r="139" spans="1:9" ht="12.75" customHeight="1" x14ac:dyDescent="0.2">
      <c r="A139" s="112" t="s">
        <v>111</v>
      </c>
      <c r="B139" s="192">
        <v>1.5</v>
      </c>
      <c r="C139" s="79" t="s">
        <v>0</v>
      </c>
      <c r="D139" s="79"/>
      <c r="E139" s="8"/>
      <c r="F139" s="8"/>
      <c r="G139" s="8"/>
      <c r="H139" s="8"/>
      <c r="I139" s="26"/>
    </row>
    <row r="140" spans="1:9" ht="12.75" customHeight="1" x14ac:dyDescent="0.2">
      <c r="A140" s="112" t="s">
        <v>112</v>
      </c>
      <c r="B140" s="192">
        <v>1.45</v>
      </c>
      <c r="C140" s="79" t="s">
        <v>0</v>
      </c>
      <c r="D140" s="79"/>
      <c r="E140" s="8"/>
      <c r="F140" s="8"/>
      <c r="G140" s="8"/>
      <c r="H140" s="8"/>
      <c r="I140" s="26"/>
    </row>
    <row r="141" spans="1:9" ht="12.75" customHeight="1" x14ac:dyDescent="0.2">
      <c r="A141" s="112" t="s">
        <v>148</v>
      </c>
      <c r="B141" s="38">
        <f>B139-B140</f>
        <v>5.0000000000000044E-2</v>
      </c>
      <c r="C141" s="79" t="s">
        <v>0</v>
      </c>
      <c r="D141" s="79"/>
      <c r="E141" s="8"/>
      <c r="F141" s="8"/>
      <c r="G141" s="8"/>
      <c r="H141" s="8"/>
      <c r="I141" s="26"/>
    </row>
    <row r="142" spans="1:9" ht="12.75" customHeight="1" x14ac:dyDescent="0.2">
      <c r="A142" s="112" t="s">
        <v>381</v>
      </c>
      <c r="B142" s="8">
        <v>0</v>
      </c>
      <c r="C142" s="113" t="s">
        <v>1</v>
      </c>
      <c r="D142" s="79"/>
      <c r="E142" s="8"/>
      <c r="F142" s="8"/>
      <c r="G142" s="8"/>
      <c r="H142" s="8"/>
      <c r="I142" s="26"/>
    </row>
    <row r="143" spans="1:9" ht="12.75" customHeight="1" x14ac:dyDescent="0.2">
      <c r="A143" s="112" t="s">
        <v>380</v>
      </c>
      <c r="B143" s="537">
        <v>5.0000000000000001E-3</v>
      </c>
      <c r="C143" s="113" t="s">
        <v>30</v>
      </c>
      <c r="D143" s="79"/>
      <c r="E143" s="8"/>
      <c r="F143" s="8"/>
      <c r="G143" s="8"/>
      <c r="H143" s="8"/>
      <c r="I143" s="26"/>
    </row>
    <row r="144" spans="1:9" ht="12.75" customHeight="1" x14ac:dyDescent="0.2">
      <c r="A144" s="112" t="s">
        <v>379</v>
      </c>
      <c r="B144" s="538">
        <f>Iuvlo2-Iuvlo1</f>
        <v>5.0000000000000001E-3</v>
      </c>
      <c r="C144" s="113" t="s">
        <v>30</v>
      </c>
      <c r="D144" s="79"/>
      <c r="F144" s="8"/>
      <c r="G144" s="8"/>
      <c r="H144" s="8"/>
      <c r="I144" s="26"/>
    </row>
    <row r="145" spans="1:9" ht="12.75" customHeight="1" x14ac:dyDescent="0.2">
      <c r="A145" s="112"/>
      <c r="B145" s="38"/>
      <c r="C145" s="384"/>
      <c r="D145" s="79"/>
      <c r="E145" s="8"/>
      <c r="F145" s="8"/>
      <c r="G145" s="8"/>
      <c r="H145" s="8"/>
      <c r="I145" s="26"/>
    </row>
    <row r="146" spans="1:9" ht="12.75" customHeight="1" x14ac:dyDescent="0.3">
      <c r="A146" s="112" t="s">
        <v>110</v>
      </c>
      <c r="B146" s="190">
        <f>'Design Converter'!E35</f>
        <v>4.5</v>
      </c>
      <c r="C146" s="113" t="s">
        <v>0</v>
      </c>
      <c r="E146" s="8"/>
      <c r="F146" s="8"/>
      <c r="G146" s="8"/>
      <c r="H146" s="8"/>
      <c r="I146" s="26"/>
    </row>
    <row r="147" spans="1:9" ht="12.75" customHeight="1" x14ac:dyDescent="0.3">
      <c r="A147" s="112" t="s">
        <v>296</v>
      </c>
      <c r="B147" s="190">
        <f>'Design Converter'!E36</f>
        <v>3.5</v>
      </c>
      <c r="C147" s="113" t="s">
        <v>0</v>
      </c>
      <c r="E147" s="8"/>
      <c r="F147" s="8"/>
      <c r="G147" s="8"/>
      <c r="H147" s="8"/>
      <c r="I147" s="26"/>
    </row>
    <row r="148" spans="1:9" ht="12.75" customHeight="1" x14ac:dyDescent="0.2">
      <c r="A148" s="112"/>
      <c r="B148" s="38"/>
      <c r="C148" s="113"/>
      <c r="E148" s="8"/>
      <c r="F148" s="8"/>
      <c r="G148" s="8"/>
      <c r="H148" s="8"/>
      <c r="I148" s="26"/>
    </row>
    <row r="149" spans="1:9" ht="12.75" customHeight="1" x14ac:dyDescent="0.3">
      <c r="A149" s="112" t="s">
        <v>126</v>
      </c>
      <c r="B149" s="610">
        <f>(VINuvlo_off-VINuvlo_on*Vuvlo_off/Vuvlo_on)/(Iuvlo1*Vuvlo_off/Vuvlo_on-Iuvlo2)</f>
        <v>169.99999999999991</v>
      </c>
      <c r="C149" s="18" t="s">
        <v>113</v>
      </c>
      <c r="D149" s="8">
        <f>'Standard Value Calculator'!J16</f>
        <v>169</v>
      </c>
      <c r="E149" s="18" t="s">
        <v>113</v>
      </c>
      <c r="F149" s="38">
        <f>IF(Ruvlo1&lt;0,"N/A",D149)</f>
        <v>169</v>
      </c>
      <c r="G149" s="38" t="str">
        <f>IF(Ruvlo1&lt;0,"N/A",D149&amp;"kΩ")</f>
        <v>169kΩ</v>
      </c>
      <c r="I149" s="26"/>
    </row>
    <row r="150" spans="1:9" ht="12.75" customHeight="1" x14ac:dyDescent="0.3">
      <c r="A150" s="112" t="s">
        <v>127</v>
      </c>
      <c r="B150" s="193">
        <f>D149*Vuvlo_on/(VINuvlo_on-Vuvlo_on+Ruvlo1*Iuvlo1)</f>
        <v>84.5</v>
      </c>
      <c r="C150" s="18" t="s">
        <v>113</v>
      </c>
      <c r="D150" s="8">
        <f>'Standard Value Calculator'!J17</f>
        <v>84.5</v>
      </c>
      <c r="E150" s="18" t="s">
        <v>113</v>
      </c>
      <c r="F150" s="38">
        <f>IF(F149="N/A","N/A",D150)</f>
        <v>84.5</v>
      </c>
      <c r="G150" s="38" t="str">
        <f>IF(G149="N/A","N/A",D150&amp;"kΩ")</f>
        <v>84.5kΩ</v>
      </c>
      <c r="I150" s="26"/>
    </row>
    <row r="151" spans="1:9" ht="12.75" customHeight="1" x14ac:dyDescent="0.2">
      <c r="A151" s="112"/>
      <c r="B151" s="114"/>
      <c r="C151" s="18"/>
      <c r="D151" s="38"/>
      <c r="E151" s="18"/>
      <c r="F151" s="38"/>
      <c r="G151" s="38"/>
      <c r="I151" s="26"/>
    </row>
    <row r="152" spans="1:9" ht="12.75" customHeight="1" x14ac:dyDescent="0.3">
      <c r="A152" s="112" t="s">
        <v>114</v>
      </c>
      <c r="B152" s="611">
        <f>(D149+D150)/D150*Vuvlo_on</f>
        <v>4.5</v>
      </c>
      <c r="C152" s="4" t="s">
        <v>0</v>
      </c>
      <c r="E152" s="8"/>
      <c r="F152" s="18"/>
      <c r="G152" s="8"/>
      <c r="H152" s="8"/>
      <c r="I152" s="26"/>
    </row>
    <row r="153" spans="1:9" ht="12.75" customHeight="1" x14ac:dyDescent="0.3">
      <c r="A153" s="112" t="s">
        <v>115</v>
      </c>
      <c r="B153" s="611">
        <f>(D149+D150)/D150*Vuvlo_off-Iuvlo2*D149</f>
        <v>3.5049999999999999</v>
      </c>
      <c r="C153" s="4" t="s">
        <v>0</v>
      </c>
      <c r="E153" s="8"/>
      <c r="F153" s="18"/>
      <c r="G153" s="8"/>
      <c r="H153" s="8"/>
      <c r="I153" s="26"/>
    </row>
    <row r="154" spans="1:9" ht="12.75" customHeight="1" thickBot="1" x14ac:dyDescent="0.25">
      <c r="A154" s="29"/>
      <c r="B154" s="39"/>
      <c r="C154" s="162"/>
      <c r="D154" s="30"/>
      <c r="E154" s="30"/>
      <c r="F154" s="30"/>
      <c r="G154" s="30"/>
      <c r="H154" s="30"/>
      <c r="I154" s="31"/>
    </row>
    <row r="155" spans="1:9" x14ac:dyDescent="0.2">
      <c r="B155" s="17"/>
      <c r="C155" s="163"/>
    </row>
    <row r="156" spans="1:9" ht="16.5" thickBot="1" x14ac:dyDescent="0.3">
      <c r="A156" s="52" t="s">
        <v>533</v>
      </c>
      <c r="B156" s="8"/>
      <c r="C156" s="41"/>
      <c r="D156" s="8"/>
      <c r="E156" s="8"/>
      <c r="F156" s="8"/>
      <c r="G156" s="8"/>
      <c r="H156" s="8"/>
      <c r="I156" s="8"/>
    </row>
    <row r="157" spans="1:9" x14ac:dyDescent="0.2">
      <c r="A157" s="181" t="s">
        <v>16</v>
      </c>
      <c r="B157" s="182">
        <v>3.1415926500000002</v>
      </c>
      <c r="C157" s="183"/>
      <c r="D157" s="184" t="s">
        <v>171</v>
      </c>
      <c r="E157" s="32"/>
      <c r="F157" s="32"/>
      <c r="G157" s="32"/>
      <c r="H157" s="32"/>
      <c r="I157" s="33"/>
    </row>
    <row r="158" spans="1:9" x14ac:dyDescent="0.2">
      <c r="A158" s="78" t="s">
        <v>186</v>
      </c>
      <c r="B158" s="210"/>
      <c r="C158" s="185" t="s">
        <v>185</v>
      </c>
      <c r="D158" s="187" t="s">
        <v>566</v>
      </c>
      <c r="I158" s="26"/>
    </row>
    <row r="159" spans="1:9" x14ac:dyDescent="0.2">
      <c r="A159" s="78" t="s">
        <v>187</v>
      </c>
      <c r="B159" s="210"/>
      <c r="C159" s="185" t="s">
        <v>185</v>
      </c>
      <c r="D159" s="187"/>
      <c r="I159" s="26"/>
    </row>
    <row r="160" spans="1:9" x14ac:dyDescent="0.2">
      <c r="C160" s="8"/>
      <c r="D160" s="8"/>
      <c r="F160" s="8"/>
      <c r="G160" s="8"/>
      <c r="H160" s="8"/>
      <c r="I160" s="26"/>
    </row>
    <row r="161" spans="1:9" x14ac:dyDescent="0.2">
      <c r="A161" s="112" t="s">
        <v>397</v>
      </c>
      <c r="B161" s="175">
        <f>(Vout+Vfwd1)*Nps*10</f>
        <v>242.5</v>
      </c>
      <c r="C161" s="18" t="s">
        <v>113</v>
      </c>
      <c r="D161" s="79" t="s">
        <v>535</v>
      </c>
      <c r="F161" s="8"/>
      <c r="G161" s="8"/>
      <c r="H161" s="8"/>
      <c r="I161" s="26">
        <v>1</v>
      </c>
    </row>
    <row r="162" spans="1:9" x14ac:dyDescent="0.2">
      <c r="A162" s="35" t="s">
        <v>534</v>
      </c>
      <c r="B162" s="180">
        <f>Rfb/1000</f>
        <v>727.5</v>
      </c>
      <c r="C162" s="18" t="s">
        <v>113</v>
      </c>
      <c r="D162" s="79" t="s">
        <v>532</v>
      </c>
      <c r="F162" s="8"/>
      <c r="G162" s="8"/>
      <c r="H162" s="8"/>
      <c r="I162" s="26"/>
    </row>
    <row r="163" spans="1:9" x14ac:dyDescent="0.2">
      <c r="A163" s="112" t="s">
        <v>53</v>
      </c>
      <c r="B163" s="37">
        <f>'Standard Value Calculator'!J10/1000</f>
        <v>732</v>
      </c>
      <c r="C163" s="18" t="s">
        <v>113</v>
      </c>
      <c r="D163" s="79" t="s">
        <v>365</v>
      </c>
      <c r="F163" s="8"/>
      <c r="G163" s="8"/>
      <c r="H163" s="8"/>
      <c r="I163" s="26"/>
    </row>
    <row r="164" spans="1:9" x14ac:dyDescent="0.2">
      <c r="A164" s="79"/>
      <c r="B164" s="13"/>
      <c r="C164" s="18"/>
      <c r="D164" s="79"/>
      <c r="F164" s="8"/>
      <c r="G164" s="8"/>
      <c r="H164" s="8"/>
      <c r="I164" s="26"/>
    </row>
    <row r="165" spans="1:9" x14ac:dyDescent="0.2">
      <c r="A165" s="113" t="s">
        <v>536</v>
      </c>
      <c r="B165" s="613">
        <f>'Design Converter'!E32</f>
        <v>-1.2</v>
      </c>
      <c r="C165" s="113" t="s">
        <v>390</v>
      </c>
      <c r="D165" s="79"/>
      <c r="F165" s="8"/>
      <c r="G165" s="8"/>
      <c r="H165" s="8"/>
      <c r="I165" s="26"/>
    </row>
    <row r="166" spans="1:9" ht="15.75" x14ac:dyDescent="0.3">
      <c r="A166" s="25" t="s">
        <v>531</v>
      </c>
      <c r="B166" s="377">
        <f>3*B162/Nps/ABS(Diode_TC)*1000</f>
        <v>1818750</v>
      </c>
      <c r="C166" s="18" t="s">
        <v>136</v>
      </c>
      <c r="D166" s="79"/>
      <c r="F166" s="8"/>
      <c r="G166" s="8"/>
      <c r="H166" s="8"/>
      <c r="I166" s="26"/>
    </row>
    <row r="167" spans="1:9" x14ac:dyDescent="0.2">
      <c r="A167" s="13" t="s">
        <v>537</v>
      </c>
      <c r="B167" s="173">
        <f>'Standard Value Calculator'!J9/1000</f>
        <v>1820</v>
      </c>
      <c r="C167" s="18" t="s">
        <v>113</v>
      </c>
      <c r="D167" s="79"/>
      <c r="F167" s="8"/>
      <c r="G167" s="8"/>
      <c r="H167" s="8"/>
      <c r="I167" s="26"/>
    </row>
    <row r="168" spans="1:9" ht="13.5" thickBot="1" x14ac:dyDescent="0.25">
      <c r="A168" s="186"/>
      <c r="B168" s="186"/>
      <c r="C168" s="42"/>
      <c r="D168" s="30"/>
      <c r="E168" s="42"/>
      <c r="F168" s="30"/>
      <c r="G168" s="30"/>
      <c r="H168" s="30"/>
      <c r="I168" s="31"/>
    </row>
    <row r="169" spans="1:9" x14ac:dyDescent="0.2">
      <c r="A169" s="3"/>
      <c r="B169" s="19"/>
      <c r="C169" s="19"/>
      <c r="E169" s="19"/>
    </row>
    <row r="170" spans="1:9" x14ac:dyDescent="0.2">
      <c r="A170" s="3"/>
      <c r="B170" s="19"/>
      <c r="C170" s="19"/>
      <c r="E170" s="19"/>
    </row>
    <row r="171" spans="1:9" ht="16.5" thickBot="1" x14ac:dyDescent="0.3">
      <c r="A171" s="56" t="s">
        <v>83</v>
      </c>
      <c r="B171" s="8"/>
      <c r="C171" s="41"/>
      <c r="D171" s="8"/>
      <c r="E171" s="8"/>
      <c r="F171" s="8"/>
      <c r="G171" s="8"/>
      <c r="H171" s="8"/>
      <c r="I171" s="8"/>
    </row>
    <row r="172" spans="1:9" x14ac:dyDescent="0.2">
      <c r="A172" s="54"/>
      <c r="B172" s="32"/>
      <c r="C172" s="164"/>
      <c r="D172" s="32"/>
      <c r="E172" s="32"/>
      <c r="F172" s="32"/>
      <c r="G172" s="32"/>
      <c r="H172" s="32"/>
      <c r="I172" s="33"/>
    </row>
    <row r="173" spans="1:9" x14ac:dyDescent="0.2">
      <c r="A173" s="35" t="s">
        <v>26</v>
      </c>
      <c r="B173" s="8"/>
      <c r="C173" s="41"/>
      <c r="D173" s="8"/>
      <c r="E173" s="8"/>
      <c r="F173" s="8"/>
      <c r="G173" s="8"/>
      <c r="H173" s="8"/>
      <c r="I173" s="26"/>
    </row>
    <row r="174" spans="1:9" x14ac:dyDescent="0.2">
      <c r="A174" s="25" t="s">
        <v>36</v>
      </c>
      <c r="B174" s="135">
        <f>'Design Converter'!E44</f>
        <v>25</v>
      </c>
      <c r="C174" s="79" t="s">
        <v>102</v>
      </c>
      <c r="D174" s="8" t="s">
        <v>40</v>
      </c>
      <c r="F174" s="8"/>
      <c r="G174" s="8"/>
      <c r="H174" s="8"/>
      <c r="I174" s="26"/>
    </row>
    <row r="175" spans="1:9" x14ac:dyDescent="0.2">
      <c r="A175" s="35" t="s">
        <v>29</v>
      </c>
      <c r="B175" s="8"/>
      <c r="C175" s="8"/>
      <c r="D175" s="8"/>
      <c r="F175" s="8"/>
      <c r="G175" s="8"/>
      <c r="H175" s="8"/>
      <c r="I175" s="26"/>
    </row>
    <row r="176" spans="1:9" x14ac:dyDescent="0.2">
      <c r="A176" s="25" t="s">
        <v>35</v>
      </c>
      <c r="B176" s="28">
        <f>4000/1000000</f>
        <v>4.0000000000000001E-3</v>
      </c>
      <c r="C176" s="79" t="s">
        <v>138</v>
      </c>
      <c r="D176" s="79" t="s">
        <v>567</v>
      </c>
      <c r="F176" s="8"/>
      <c r="G176" s="8"/>
      <c r="H176" s="8"/>
      <c r="I176" s="26"/>
    </row>
    <row r="177" spans="1:9" ht="15.75" x14ac:dyDescent="0.3">
      <c r="A177" s="112" t="s">
        <v>178</v>
      </c>
      <c r="B177" s="28">
        <v>20</v>
      </c>
      <c r="C177" s="113" t="s">
        <v>84</v>
      </c>
      <c r="D177" s="79" t="s">
        <v>568</v>
      </c>
      <c r="F177" s="8"/>
      <c r="G177" s="8"/>
      <c r="H177" s="8"/>
      <c r="I177" s="26"/>
    </row>
    <row r="178" spans="1:9" x14ac:dyDescent="0.2">
      <c r="A178" s="25" t="s">
        <v>37</v>
      </c>
      <c r="B178" s="11">
        <f>RCinEsr</f>
        <v>5.0000000000000001E-3</v>
      </c>
      <c r="C178" s="115" t="s">
        <v>45</v>
      </c>
      <c r="D178" s="79" t="s">
        <v>179</v>
      </c>
      <c r="F178" s="8"/>
      <c r="G178" s="8"/>
      <c r="H178" s="8"/>
      <c r="I178" s="26"/>
    </row>
    <row r="179" spans="1:9" x14ac:dyDescent="0.2">
      <c r="A179" s="25"/>
      <c r="B179" s="11"/>
      <c r="C179" s="115"/>
      <c r="D179" s="79"/>
      <c r="F179" s="8"/>
      <c r="G179" s="8"/>
      <c r="H179" s="8"/>
      <c r="I179" s="26"/>
    </row>
    <row r="180" spans="1:9" x14ac:dyDescent="0.2">
      <c r="A180" s="34" t="s">
        <v>52</v>
      </c>
      <c r="B180" s="8"/>
      <c r="C180" s="8"/>
      <c r="D180" s="8"/>
      <c r="F180" s="8"/>
      <c r="G180" s="8"/>
      <c r="H180" s="8"/>
      <c r="I180" s="26"/>
    </row>
    <row r="181" spans="1:9" x14ac:dyDescent="0.2">
      <c r="A181" s="112" t="s">
        <v>286</v>
      </c>
      <c r="B181" s="28">
        <f>Vdd</f>
        <v>5</v>
      </c>
      <c r="C181" s="62" t="s">
        <v>0</v>
      </c>
      <c r="D181" s="188"/>
      <c r="F181" s="8"/>
      <c r="G181" s="8"/>
      <c r="H181" s="8"/>
      <c r="I181" s="26"/>
    </row>
    <row r="182" spans="1:9" x14ac:dyDescent="0.2">
      <c r="A182" s="25" t="s">
        <v>49</v>
      </c>
      <c r="B182" s="36">
        <f>IQ</f>
        <v>2.9E-4</v>
      </c>
      <c r="C182" s="8" t="s">
        <v>1</v>
      </c>
      <c r="D182" s="8" t="s">
        <v>50</v>
      </c>
      <c r="F182" s="8"/>
      <c r="G182" s="8"/>
      <c r="H182" s="8"/>
      <c r="I182" s="26"/>
    </row>
    <row r="183" spans="1:9" x14ac:dyDescent="0.2">
      <c r="A183" s="25"/>
      <c r="B183" s="8"/>
      <c r="C183" s="8"/>
      <c r="D183" s="8"/>
      <c r="F183" s="8"/>
      <c r="G183" s="8"/>
      <c r="H183" s="8"/>
      <c r="I183" s="26"/>
    </row>
    <row r="184" spans="1:9" x14ac:dyDescent="0.2">
      <c r="A184" s="57" t="s">
        <v>173</v>
      </c>
      <c r="B184" s="44" t="s">
        <v>6</v>
      </c>
      <c r="C184" s="15" t="s">
        <v>33</v>
      </c>
      <c r="D184" s="8"/>
      <c r="F184" s="8"/>
      <c r="G184" s="8"/>
      <c r="H184" s="8"/>
      <c r="I184" s="26"/>
    </row>
    <row r="185" spans="1:9" x14ac:dyDescent="0.2">
      <c r="A185" s="58" t="s">
        <v>44</v>
      </c>
      <c r="B185" s="45"/>
      <c r="C185" s="46" t="s">
        <v>45</v>
      </c>
      <c r="D185" s="8"/>
      <c r="F185" s="8"/>
      <c r="G185" s="8"/>
      <c r="H185" s="8"/>
      <c r="I185" s="26"/>
    </row>
    <row r="186" spans="1:9" x14ac:dyDescent="0.2">
      <c r="A186" s="58" t="s">
        <v>46</v>
      </c>
      <c r="B186" s="14" t="e">
        <f>B185*ThetaJaCtrl</f>
        <v>#NAME?</v>
      </c>
      <c r="C186" s="113" t="s">
        <v>102</v>
      </c>
      <c r="D186" s="8"/>
      <c r="F186" s="8"/>
      <c r="G186" s="8"/>
      <c r="H186" s="8"/>
      <c r="I186" s="26"/>
    </row>
    <row r="187" spans="1:9" x14ac:dyDescent="0.2">
      <c r="A187" s="58" t="s">
        <v>87</v>
      </c>
      <c r="B187" s="14" t="e">
        <f>(Qg_Q1+Qg_Q2)*Fsw+IQ</f>
        <v>#NAME?</v>
      </c>
      <c r="C187" s="13" t="s">
        <v>1</v>
      </c>
      <c r="D187" s="8"/>
      <c r="F187" s="8"/>
      <c r="G187" s="8"/>
      <c r="H187" s="8"/>
      <c r="I187" s="26"/>
    </row>
    <row r="188" spans="1:9" x14ac:dyDescent="0.2">
      <c r="A188" s="58" t="s">
        <v>88</v>
      </c>
      <c r="B188" s="13" t="e">
        <f>Qrr_Q2*Fsw</f>
        <v>#NAME?</v>
      </c>
      <c r="C188" s="13" t="s">
        <v>1</v>
      </c>
      <c r="D188" s="8"/>
      <c r="F188" s="8"/>
      <c r="G188" s="8"/>
      <c r="H188" s="8"/>
      <c r="I188" s="26"/>
    </row>
    <row r="189" spans="1:9" x14ac:dyDescent="0.2">
      <c r="A189" s="58" t="s">
        <v>89</v>
      </c>
      <c r="B189" s="13" t="e">
        <f>C189/Vin</f>
        <v>#NAME?</v>
      </c>
      <c r="C189" s="13" t="e">
        <f>Deadtime*Fsw*(Ipp/2)*(Vsd_Q1+Vsd_Q2)</f>
        <v>#NAME?</v>
      </c>
      <c r="D189" s="8"/>
      <c r="F189" s="8"/>
      <c r="G189" s="8"/>
      <c r="H189" s="8"/>
      <c r="I189" s="26"/>
    </row>
    <row r="190" spans="1:9" x14ac:dyDescent="0.2">
      <c r="A190" s="58" t="s">
        <v>91</v>
      </c>
      <c r="B190" s="13" t="e">
        <f>SUM(B187:B189)</f>
        <v>#NAME?</v>
      </c>
      <c r="C190" s="13" t="s">
        <v>1</v>
      </c>
      <c r="D190" s="8"/>
      <c r="F190" s="8"/>
      <c r="G190" s="8"/>
      <c r="H190" s="8"/>
      <c r="I190" s="26"/>
    </row>
    <row r="191" spans="1:9" ht="13.5" thickBot="1" x14ac:dyDescent="0.25">
      <c r="A191" s="29"/>
      <c r="B191" s="30"/>
      <c r="C191" s="165"/>
      <c r="D191" s="30"/>
      <c r="E191" s="30"/>
      <c r="F191" s="30"/>
      <c r="G191" s="30"/>
      <c r="H191" s="30"/>
      <c r="I191" s="31"/>
    </row>
    <row r="192" spans="1:9" x14ac:dyDescent="0.2">
      <c r="A192" s="3"/>
      <c r="B192" s="3"/>
      <c r="C192" s="3"/>
    </row>
    <row r="193" spans="1:9" ht="21.75" customHeight="1" thickBot="1" x14ac:dyDescent="0.3">
      <c r="A193" s="52" t="s">
        <v>85</v>
      </c>
      <c r="B193" s="8"/>
      <c r="C193" s="41"/>
      <c r="D193" s="8"/>
      <c r="E193" s="8"/>
      <c r="F193" s="8"/>
      <c r="G193" s="8"/>
      <c r="H193" s="8"/>
      <c r="I193" s="8"/>
    </row>
    <row r="194" spans="1:9" x14ac:dyDescent="0.2">
      <c r="A194" s="54"/>
      <c r="B194" s="32"/>
      <c r="C194" s="164"/>
      <c r="D194" s="32"/>
      <c r="E194" s="59"/>
      <c r="F194" s="59"/>
      <c r="G194" s="59"/>
      <c r="H194" s="59"/>
      <c r="I194" s="33"/>
    </row>
    <row r="195" spans="1:9" x14ac:dyDescent="0.2">
      <c r="A195" s="25"/>
      <c r="B195" s="113"/>
      <c r="C195" s="41"/>
      <c r="D195" s="8"/>
      <c r="E195" s="205"/>
      <c r="F195" s="205"/>
      <c r="G195" s="205"/>
      <c r="H195" s="205"/>
      <c r="I195" s="26"/>
    </row>
    <row r="196" spans="1:9" x14ac:dyDescent="0.2">
      <c r="A196" s="25" t="str">
        <f>"RUV1 = "&amp;'Design Converter'!E37&amp;"MΩ"</f>
        <v>RUV1 = 169MΩ</v>
      </c>
      <c r="B196" s="8" t="str">
        <f>C237</f>
        <v>169kΩ</v>
      </c>
      <c r="C196" s="41"/>
      <c r="D196" s="8"/>
      <c r="E196" s="205"/>
      <c r="F196" s="205"/>
      <c r="G196" s="205"/>
      <c r="H196" s="205"/>
      <c r="I196" s="26"/>
    </row>
    <row r="197" spans="1:9" x14ac:dyDescent="0.2">
      <c r="A197" s="25" t="str">
        <f>"RUV2 = "&amp;'Design Converter'!E38&amp;"kΩ"</f>
        <v>RUV2 = 84.5kΩ</v>
      </c>
      <c r="B197" s="8" t="str">
        <f>C238</f>
        <v>84.5kΩ</v>
      </c>
      <c r="C197" s="41"/>
      <c r="D197" s="8"/>
      <c r="E197" s="205"/>
      <c r="F197" s="205"/>
      <c r="G197" s="205"/>
      <c r="H197" s="205"/>
      <c r="I197" s="26"/>
    </row>
    <row r="198" spans="1:9" x14ac:dyDescent="0.2">
      <c r="A198" s="25"/>
      <c r="B198" s="8"/>
      <c r="C198" s="41"/>
      <c r="D198" s="8"/>
      <c r="E198" s="205"/>
      <c r="F198" s="205"/>
      <c r="G198" s="205"/>
      <c r="H198" s="205"/>
      <c r="I198" s="26"/>
    </row>
    <row r="199" spans="1:9" x14ac:dyDescent="0.2">
      <c r="A199" s="25" t="str">
        <f>"Lmag = "&amp;'Design Converter'!L7&amp;"µH"</f>
        <v>Lmag = 47µH</v>
      </c>
      <c r="B199" s="8" t="str">
        <f>'Design Converter'!L7&amp;"µH"</f>
        <v>47µH</v>
      </c>
      <c r="C199" s="41"/>
      <c r="D199" s="8"/>
      <c r="E199" s="8"/>
      <c r="F199" s="8"/>
      <c r="G199" s="8"/>
      <c r="H199" s="8"/>
      <c r="I199" s="26"/>
    </row>
    <row r="200" spans="1:9" x14ac:dyDescent="0.2">
      <c r="A200" s="25" t="str">
        <f>"Rdcr = "&amp;Rdcr_pri*1000&amp;"mΩ"</f>
        <v>Rdcr = 200mΩ</v>
      </c>
      <c r="B200" s="204" t="str">
        <f>Rdcr_pri*1000&amp;"mΩ"</f>
        <v>200mΩ</v>
      </c>
      <c r="C200" s="41"/>
      <c r="D200" s="8"/>
      <c r="E200" s="8"/>
      <c r="F200" s="8"/>
      <c r="G200" s="8"/>
      <c r="H200" s="8"/>
      <c r="I200" s="26"/>
    </row>
    <row r="201" spans="1:9" x14ac:dyDescent="0.2">
      <c r="A201" s="112" t="s">
        <v>395</v>
      </c>
      <c r="B201" s="204" t="str">
        <f>W44</f>
        <v>1 : 1</v>
      </c>
      <c r="C201" s="41"/>
      <c r="D201" s="8"/>
      <c r="E201" s="8"/>
      <c r="F201" s="8"/>
      <c r="G201" s="8"/>
      <c r="H201" s="8"/>
      <c r="I201" s="26"/>
    </row>
    <row r="202" spans="1:9" x14ac:dyDescent="0.2">
      <c r="A202" s="25"/>
      <c r="B202" s="204"/>
      <c r="C202" s="41"/>
      <c r="D202" s="8"/>
      <c r="E202" s="8"/>
      <c r="F202" s="8"/>
      <c r="G202" s="8"/>
      <c r="H202" s="8"/>
      <c r="I202" s="26"/>
    </row>
    <row r="203" spans="1:9" x14ac:dyDescent="0.2">
      <c r="A203" s="25" t="str">
        <f>"Css = "&amp;ROUND(Css_u*1000000000,1)&amp;"nF"</f>
        <v>Css = 39nF</v>
      </c>
      <c r="B203" s="8" t="str">
        <f>ROUND(Css_u*1000000000,1)&amp;"nF"</f>
        <v>39nF</v>
      </c>
      <c r="C203" s="41"/>
      <c r="D203" s="8"/>
      <c r="E203" s="8"/>
      <c r="F203" s="8"/>
      <c r="G203" s="8"/>
      <c r="H203" s="8"/>
      <c r="I203" s="26"/>
    </row>
    <row r="204" spans="1:9" x14ac:dyDescent="0.2">
      <c r="A204" s="25"/>
      <c r="B204" s="8"/>
      <c r="C204" s="41"/>
      <c r="D204" s="8"/>
      <c r="E204" s="8"/>
      <c r="F204" s="8"/>
      <c r="G204" s="8"/>
      <c r="H204" s="8"/>
      <c r="I204" s="26"/>
    </row>
    <row r="205" spans="1:9" x14ac:dyDescent="0.2">
      <c r="A205" s="25" t="s">
        <v>57</v>
      </c>
      <c r="B205" s="8" t="str">
        <f>VIN_nom&amp;"V"</f>
        <v>12V</v>
      </c>
      <c r="C205" s="41"/>
      <c r="D205" s="8"/>
      <c r="E205" s="8"/>
      <c r="F205" s="8"/>
      <c r="G205" s="8"/>
      <c r="H205" s="8"/>
      <c r="I205" s="26"/>
    </row>
    <row r="206" spans="1:9" x14ac:dyDescent="0.2">
      <c r="A206" s="112" t="s">
        <v>188</v>
      </c>
      <c r="B206" s="8" t="str">
        <f>VIN_min&amp;"V..."&amp;VIN_max&amp;"V"</f>
        <v>10V...15V</v>
      </c>
      <c r="C206" s="41"/>
      <c r="D206" s="8"/>
      <c r="E206" s="8"/>
      <c r="F206" s="8"/>
      <c r="G206" s="8"/>
      <c r="H206" s="8"/>
      <c r="I206" s="26"/>
    </row>
    <row r="207" spans="1:9" x14ac:dyDescent="0.2">
      <c r="A207" s="112"/>
      <c r="B207" s="8"/>
      <c r="C207" s="41"/>
      <c r="D207" s="8"/>
      <c r="E207" s="8"/>
      <c r="F207" s="8"/>
      <c r="G207" s="8"/>
      <c r="H207" s="8"/>
      <c r="I207" s="26"/>
    </row>
    <row r="208" spans="1:9" x14ac:dyDescent="0.2">
      <c r="A208" s="25" t="str">
        <f>"VOUT = "&amp;'Design Converter'!E10&amp;"V"</f>
        <v>VOUT = 24V</v>
      </c>
      <c r="B208" s="8" t="str">
        <f>'Design Converter'!E10&amp;"V"</f>
        <v>24V</v>
      </c>
      <c r="C208" s="41"/>
      <c r="D208" s="8">
        <f>MODE</f>
        <v>1</v>
      </c>
      <c r="E208" s="8"/>
      <c r="F208" s="8"/>
      <c r="G208" s="8"/>
      <c r="H208" s="8"/>
      <c r="I208" s="26"/>
    </row>
    <row r="209" spans="1:9" x14ac:dyDescent="0.2">
      <c r="A209" s="25" t="str">
        <f>"VOUT2 = "&amp;'Design Converter'!E12&amp;"V"</f>
        <v>VOUT2 = -12V</v>
      </c>
      <c r="B209" s="8" t="str">
        <f>IF(MODE_TOP="DUAL", 'Design Converter'!E12&amp;"V", "")</f>
        <v/>
      </c>
      <c r="C209" s="41"/>
      <c r="D209" s="79" t="b">
        <f>MODE=2</f>
        <v>0</v>
      </c>
      <c r="E209" s="8"/>
      <c r="F209" s="8"/>
      <c r="G209" s="8"/>
      <c r="H209" s="8"/>
      <c r="I209" s="26"/>
    </row>
    <row r="210" spans="1:9" x14ac:dyDescent="0.2">
      <c r="A210" s="25" t="str">
        <f>"VOUT2 = "&amp;'Design Converter'!E12&amp;"V"</f>
        <v>VOUT2 = -12V</v>
      </c>
      <c r="B210" s="8" t="str">
        <f>IF(MODE_TOP="BIPOLAR", 'Design Converter'!E12&amp;"V", "")</f>
        <v/>
      </c>
      <c r="C210" s="41"/>
      <c r="D210" s="8"/>
      <c r="E210" s="8"/>
      <c r="F210" s="8"/>
      <c r="G210" s="8"/>
      <c r="H210" s="8"/>
      <c r="I210" s="26"/>
    </row>
    <row r="211" spans="1:9" x14ac:dyDescent="0.2">
      <c r="A211" s="25"/>
      <c r="B211" s="8"/>
      <c r="C211" s="41"/>
      <c r="D211" s="8"/>
      <c r="E211" s="8"/>
      <c r="F211" s="8"/>
      <c r="G211" s="8"/>
      <c r="H211" s="8"/>
      <c r="I211" s="26"/>
    </row>
    <row r="212" spans="1:9" x14ac:dyDescent="0.2">
      <c r="A212" s="403" t="s">
        <v>525</v>
      </c>
      <c r="B212" s="79" t="str">
        <f>IF(MODE=1, "", "Co1")</f>
        <v/>
      </c>
      <c r="C212" s="79" t="str">
        <f>IF(MODE_TOP="DUAL", "Co2", "")</f>
        <v/>
      </c>
      <c r="D212" s="79" t="str">
        <f>IF(MODE_TOP="BIPOLAR", "Co2", "")</f>
        <v/>
      </c>
      <c r="E212" s="8"/>
      <c r="F212" s="79" t="str">
        <f>MODE_TOP</f>
        <v>SINGLE</v>
      </c>
      <c r="G212" s="8"/>
      <c r="H212" s="8"/>
      <c r="I212" s="26"/>
    </row>
    <row r="213" spans="1:9" x14ac:dyDescent="0.2">
      <c r="A213" s="25" t="str">
        <f>"COUT = "&amp;'Design Converter'!$E$21&amp;"µF"</f>
        <v>COUT = 100µF</v>
      </c>
      <c r="B213" s="8" t="str">
        <f>'Design Converter'!$E$21&amp;"µF"</f>
        <v>100µF</v>
      </c>
      <c r="C213" s="8" t="str">
        <f>IF(MODE_TOP="DUAL", 'Design Converter'!$L$21&amp;"µF", "")</f>
        <v/>
      </c>
      <c r="D213" s="8" t="str">
        <f>IF(MODE_TOP="BIPOLAR", 'Design Converter'!$L$21&amp;"µF", "")</f>
        <v/>
      </c>
      <c r="E213" s="8"/>
      <c r="F213" s="8" t="str">
        <f>'Design Converter'!$L$21&amp;"µF"</f>
        <v>47µF</v>
      </c>
      <c r="G213" s="8"/>
      <c r="H213" s="8"/>
      <c r="I213" s="26"/>
    </row>
    <row r="214" spans="1:9" x14ac:dyDescent="0.2">
      <c r="A214" s="112" t="s">
        <v>134</v>
      </c>
      <c r="B214" s="8" t="str">
        <f>"22µF"</f>
        <v>22µF</v>
      </c>
      <c r="C214" s="41"/>
      <c r="D214" s="8"/>
      <c r="E214" s="8"/>
      <c r="F214" s="8"/>
      <c r="G214" s="8"/>
      <c r="H214" s="8"/>
      <c r="I214" s="26"/>
    </row>
    <row r="215" spans="1:9" x14ac:dyDescent="0.2">
      <c r="A215" s="112" t="s">
        <v>135</v>
      </c>
      <c r="B215" s="80" t="str">
        <f>ROUNDUP(Cout/22,0)&amp;" x"</f>
        <v>5 x</v>
      </c>
      <c r="C215" s="166"/>
      <c r="D215" s="8"/>
      <c r="E215" s="8"/>
      <c r="F215" s="8"/>
      <c r="G215" s="8"/>
      <c r="H215" s="8"/>
      <c r="I215" s="26"/>
    </row>
    <row r="216" spans="1:9" x14ac:dyDescent="0.2">
      <c r="A216" s="112"/>
      <c r="B216" s="80">
        <f>Cout</f>
        <v>100</v>
      </c>
      <c r="C216" s="166"/>
      <c r="D216" s="8"/>
      <c r="E216" s="8"/>
      <c r="F216" s="8"/>
      <c r="G216" s="8"/>
      <c r="H216" s="8"/>
      <c r="I216" s="26"/>
    </row>
    <row r="217" spans="1:9" x14ac:dyDescent="0.2">
      <c r="A217" s="403" t="s">
        <v>526</v>
      </c>
      <c r="B217" s="8"/>
      <c r="C217" s="41"/>
      <c r="D217" s="8"/>
      <c r="E217" s="8"/>
      <c r="F217" s="8"/>
      <c r="G217" s="8"/>
      <c r="H217" s="8"/>
      <c r="I217" s="26"/>
    </row>
    <row r="218" spans="1:9" x14ac:dyDescent="0.2">
      <c r="A218" s="25" t="s">
        <v>95</v>
      </c>
      <c r="B218" s="8" t="str">
        <f>Cin&amp;"µF"</f>
        <v>22µF</v>
      </c>
      <c r="E218" s="8"/>
      <c r="F218" s="8"/>
      <c r="G218" s="8"/>
      <c r="H218" s="8"/>
      <c r="I218" s="26"/>
    </row>
    <row r="219" spans="1:9" x14ac:dyDescent="0.2">
      <c r="A219" s="112" t="s">
        <v>133</v>
      </c>
      <c r="B219" s="8" t="str">
        <f>"4.7µF"</f>
        <v>4.7µF</v>
      </c>
      <c r="C219" s="41"/>
      <c r="D219" s="8"/>
      <c r="E219" s="8"/>
      <c r="F219" s="8"/>
      <c r="G219" s="8"/>
      <c r="H219" s="8"/>
      <c r="I219" s="26"/>
    </row>
    <row r="220" spans="1:9" x14ac:dyDescent="0.2">
      <c r="A220" s="112" t="s">
        <v>132</v>
      </c>
      <c r="B220" s="80" t="str">
        <f>ROUNDUP(Cin/4.7,0)&amp;" x"</f>
        <v>5 x</v>
      </c>
      <c r="C220" s="166"/>
      <c r="D220" s="8"/>
      <c r="E220" s="8"/>
      <c r="F220" s="8"/>
      <c r="G220" s="8"/>
      <c r="H220" s="8"/>
      <c r="I220" s="26"/>
    </row>
    <row r="221" spans="1:9" x14ac:dyDescent="0.2">
      <c r="A221" s="112"/>
      <c r="B221" s="80"/>
      <c r="D221" s="8"/>
      <c r="E221" s="8"/>
      <c r="F221" s="8"/>
      <c r="G221" s="8"/>
      <c r="H221" s="8"/>
      <c r="I221" s="26"/>
    </row>
    <row r="222" spans="1:9" ht="15.75" x14ac:dyDescent="0.3">
      <c r="A222" s="112" t="s">
        <v>527</v>
      </c>
      <c r="B222" s="598" t="s">
        <v>528</v>
      </c>
      <c r="C222" s="598" t="s">
        <v>569</v>
      </c>
      <c r="D222" s="8"/>
      <c r="E222" s="8"/>
      <c r="F222" s="8"/>
      <c r="G222" s="8"/>
      <c r="H222" s="8"/>
      <c r="I222" s="26"/>
    </row>
    <row r="223" spans="1:9" x14ac:dyDescent="0.2">
      <c r="A223" s="112"/>
      <c r="B223" s="80"/>
      <c r="D223" s="8"/>
      <c r="E223" s="8"/>
      <c r="F223" s="8"/>
      <c r="G223" s="8"/>
      <c r="H223" s="8"/>
      <c r="I223" s="26"/>
    </row>
    <row r="224" spans="1:9" x14ac:dyDescent="0.2">
      <c r="A224" s="403" t="s">
        <v>394</v>
      </c>
      <c r="B224" s="166" t="str">
        <f>IF(MODE_TC=1, "YES", "NO")</f>
        <v>YES</v>
      </c>
      <c r="D224" s="8"/>
      <c r="E224" s="8"/>
      <c r="F224" s="8"/>
      <c r="G224" s="8"/>
      <c r="H224" s="8"/>
      <c r="I224" s="26"/>
    </row>
    <row r="225" spans="1:9" x14ac:dyDescent="0.2">
      <c r="A225" s="112" t="s">
        <v>301</v>
      </c>
      <c r="B225" s="166" t="str">
        <f>IF(MODE_TC=2, "YES", "NO")</f>
        <v>NO</v>
      </c>
      <c r="C225" s="393" t="str">
        <f>IF(MODE_TC=2, "R1", "")</f>
        <v/>
      </c>
      <c r="D225" s="393" t="str">
        <f>IF(MODE_TC=2, "R2", "")</f>
        <v/>
      </c>
      <c r="E225" s="393"/>
      <c r="F225" s="8"/>
      <c r="G225" s="8"/>
      <c r="H225" s="8"/>
      <c r="I225" s="26"/>
    </row>
    <row r="226" spans="1:9" x14ac:dyDescent="0.2">
      <c r="A226" s="25" t="str">
        <f>"RFB = "&amp;'Design Converter'!E26&amp;"kΩ"</f>
        <v>RFB = 242.5kΩ</v>
      </c>
      <c r="B226" s="8" t="str">
        <f>IF(MODE_TC=1, "", 'Design Converter'!E26&amp;"kΩ")</f>
        <v/>
      </c>
      <c r="C226" s="79" t="str">
        <f>'Design Converter'!E26&amp;"kΩ"</f>
        <v>242.5kΩ</v>
      </c>
      <c r="D226" s="8"/>
      <c r="E226" s="8"/>
      <c r="F226" s="8"/>
      <c r="G226" s="8"/>
      <c r="H226" s="8"/>
      <c r="I226" s="26"/>
    </row>
    <row r="227" spans="1:9" x14ac:dyDescent="0.2">
      <c r="A227" s="25" t="str">
        <f>"RFB2 = "&amp;IF(Vout=Vref,"OPEN",'Design Converter'!E27&amp;"kΩ")</f>
        <v>RFB2 = 727.5kΩ</v>
      </c>
      <c r="B227" s="8" t="str">
        <f>IF(MODE_TC=1, "", IF(Vout=Vref,"OPEN",Rfb2_u/1000&amp;"kΩ"))</f>
        <v/>
      </c>
      <c r="C227" s="79" t="str">
        <f>'Design Converter'!E27&amp;"kΩ"</f>
        <v>727.5kΩ</v>
      </c>
      <c r="D227" s="8"/>
      <c r="E227" s="8"/>
      <c r="F227" s="8"/>
      <c r="G227" s="8"/>
      <c r="H227" s="8"/>
      <c r="I227" s="26"/>
    </row>
    <row r="228" spans="1:9" x14ac:dyDescent="0.2">
      <c r="A228" s="25"/>
      <c r="B228" s="8"/>
      <c r="C228" s="79"/>
      <c r="D228" s="8"/>
      <c r="E228" s="8"/>
      <c r="F228" s="8"/>
      <c r="G228" s="8"/>
      <c r="H228" s="8"/>
      <c r="I228" s="26"/>
    </row>
    <row r="229" spans="1:9" x14ac:dyDescent="0.2">
      <c r="A229" s="112" t="s">
        <v>305</v>
      </c>
      <c r="B229" s="41" t="str">
        <f>IF(MODE=1, "YES", "NO")</f>
        <v>YES</v>
      </c>
      <c r="C229" s="8" t="str">
        <f>IF(MODE=1,"Rt", "")</f>
        <v>Rt</v>
      </c>
      <c r="D229" s="8"/>
      <c r="E229" s="8"/>
      <c r="F229" s="8"/>
      <c r="G229" s="8"/>
      <c r="H229" s="8"/>
      <c r="I229" s="26"/>
    </row>
    <row r="230" spans="1:9" x14ac:dyDescent="0.2">
      <c r="A230" s="112" t="s">
        <v>139</v>
      </c>
      <c r="B230" s="8" t="e">
        <f>IF(MODE=2, "", 'Standard Value Calculator'!J4/1000&amp;"kΩ")</f>
        <v>#NAME?</v>
      </c>
      <c r="C230" s="41"/>
      <c r="D230" s="8"/>
      <c r="E230" s="8"/>
      <c r="F230" s="8"/>
      <c r="G230" s="8"/>
      <c r="H230" s="8"/>
      <c r="I230" s="26"/>
    </row>
    <row r="231" spans="1:9" x14ac:dyDescent="0.2">
      <c r="A231" s="112"/>
      <c r="B231" s="8"/>
      <c r="C231" s="41"/>
      <c r="D231" s="8"/>
      <c r="E231" s="8"/>
      <c r="F231" s="8"/>
      <c r="G231" s="8"/>
      <c r="H231" s="8"/>
      <c r="I231" s="26"/>
    </row>
    <row r="232" spans="1:9" x14ac:dyDescent="0.2">
      <c r="A232" s="403" t="s">
        <v>384</v>
      </c>
      <c r="B232" s="166" t="str">
        <f>IF(MODE=1, "YES", "NO")</f>
        <v>YES</v>
      </c>
      <c r="C232" s="79" t="str">
        <f>IF(TC=1,"Rtc", "")</f>
        <v>Rtc</v>
      </c>
      <c r="D232" s="8"/>
      <c r="E232" s="8"/>
      <c r="F232" s="8"/>
      <c r="G232" s="8"/>
      <c r="H232" s="8"/>
      <c r="I232" s="26"/>
    </row>
    <row r="233" spans="1:9" x14ac:dyDescent="0.2">
      <c r="A233" s="539" t="str">
        <f>"RTC = "&amp;RTC&amp;"kΩ"</f>
        <v>RTC = 1820kΩ</v>
      </c>
      <c r="B233" s="8" t="str">
        <f>IF(TC=1, RTC&amp;"kΩ", "")</f>
        <v>1820kΩ</v>
      </c>
      <c r="C233" s="79" t="str">
        <f>CHOOSE(TC,"Rtc","")</f>
        <v>Rtc</v>
      </c>
      <c r="D233" s="8"/>
      <c r="E233" s="8"/>
      <c r="F233" s="9"/>
      <c r="G233" s="8"/>
      <c r="H233" s="8"/>
      <c r="I233" s="26"/>
    </row>
    <row r="234" spans="1:9" x14ac:dyDescent="0.2">
      <c r="A234" s="112" t="s">
        <v>387</v>
      </c>
      <c r="B234" s="374"/>
      <c r="C234" s="8"/>
      <c r="D234" s="8"/>
      <c r="E234" s="8"/>
      <c r="F234" s="9"/>
      <c r="G234" s="8"/>
      <c r="H234" s="8"/>
      <c r="I234" s="26"/>
    </row>
    <row r="235" spans="1:9" x14ac:dyDescent="0.2">
      <c r="A235" s="25"/>
      <c r="B235" s="80"/>
      <c r="C235" s="166"/>
      <c r="D235" s="8"/>
      <c r="E235" s="115"/>
      <c r="F235" s="8"/>
      <c r="G235" s="8"/>
      <c r="H235" s="8"/>
      <c r="I235" s="26"/>
    </row>
    <row r="236" spans="1:9" x14ac:dyDescent="0.2">
      <c r="A236" s="403" t="s">
        <v>309</v>
      </c>
      <c r="B236" s="166" t="str">
        <f>IF(MODE_UVLO=1, "YES", "NO")</f>
        <v>YES</v>
      </c>
      <c r="C236" s="393" t="str">
        <f>IF(MODE_UVLO=1, "Ruv1", "")</f>
        <v>Ruv1</v>
      </c>
      <c r="D236" s="393" t="str">
        <f>IF(MODE_UVLO=1, "Ruv2", "")</f>
        <v>Ruv2</v>
      </c>
      <c r="E236" s="393"/>
      <c r="F236" s="393" t="s">
        <v>6</v>
      </c>
      <c r="G236" s="393" t="s">
        <v>33</v>
      </c>
      <c r="H236" s="79" t="s">
        <v>343</v>
      </c>
      <c r="I236" s="26"/>
    </row>
    <row r="237" spans="1:9" x14ac:dyDescent="0.2">
      <c r="A237" s="25" t="str">
        <f>"RUV1 = "&amp;C237</f>
        <v>RUV1 = 169kΩ</v>
      </c>
      <c r="B237" s="8" t="str">
        <f>'Design Converter'!E37&amp;" kΩ"</f>
        <v>169 kΩ</v>
      </c>
      <c r="C237" s="393" t="str">
        <f>IF(MODE_UVLO=1,'Design Converter'!E37&amp;"kΩ", "")</f>
        <v>169kΩ</v>
      </c>
      <c r="F237" s="8">
        <f>IF(MODE_UVLO=1,'Design Converter'!E37, "")</f>
        <v>169</v>
      </c>
      <c r="G237" s="79" t="str">
        <f>IF(MODE_UVLO=1,"kΩ", "")</f>
        <v>kΩ</v>
      </c>
      <c r="H237" s="393" t="str">
        <f>IF(MODE_UVLO=1,'Design Converter'!E37&amp;"k", "")</f>
        <v>169k</v>
      </c>
      <c r="I237" s="26"/>
    </row>
    <row r="238" spans="1:9" x14ac:dyDescent="0.2">
      <c r="A238" s="25" t="str">
        <f>"RUV2 = "&amp;C238</f>
        <v>RUV2 = 84.5kΩ</v>
      </c>
      <c r="B238" s="8" t="str">
        <f>IF(D150&gt;=1000, D150/1000&amp;" MΩ", D150&amp;" kΩ")</f>
        <v>84.5 kΩ</v>
      </c>
      <c r="C238" s="393" t="str">
        <f>IF(MODE_UVLO=1, IF(D150&lt;1, D150*1000&amp;"Ω", IF(D150&lt;1000, D150&amp;"kΩ", D150/1000&amp;"MΩ")), "")</f>
        <v>84.5kΩ</v>
      </c>
      <c r="F238" s="8">
        <f>IF(MODE_UVLO=1, IF(D150&lt;1, D150*1000, IF(D150&lt;1000, D150, D150/1000)), "")</f>
        <v>84.5</v>
      </c>
      <c r="G238" s="79" t="str">
        <f>IF(MODE_UVLO=1, IF(D150&lt;1, "Ω", IF(D150&lt;1000,"kΩ", "MΩ")), "")</f>
        <v>kΩ</v>
      </c>
      <c r="H238" s="393" t="str">
        <f>IF(MODE_UVLO=1, IF(D150&lt;1, D150*1000, IF(D150&lt;1000, D150&amp;"k", D150/1000&amp;"M")), "")</f>
        <v>84.5k</v>
      </c>
      <c r="I238" s="26"/>
    </row>
    <row r="239" spans="1:9" x14ac:dyDescent="0.2">
      <c r="A239" s="25"/>
      <c r="B239" s="8"/>
      <c r="C239" s="393"/>
      <c r="F239" s="8"/>
      <c r="G239" s="79"/>
      <c r="H239" s="393"/>
      <c r="I239" s="26"/>
    </row>
    <row r="240" spans="1:9" x14ac:dyDescent="0.2">
      <c r="A240" s="403" t="s">
        <v>388</v>
      </c>
      <c r="B240" s="8"/>
      <c r="C240" s="393"/>
      <c r="F240" s="8"/>
      <c r="G240" s="79"/>
      <c r="H240" s="393"/>
      <c r="I240" s="26"/>
    </row>
    <row r="241" spans="1:9" x14ac:dyDescent="0.2">
      <c r="A241" s="25" t="str">
        <f>"RSET = "&amp;C241</f>
        <v>RSET = 12.1kΩ</v>
      </c>
      <c r="B241" s="79" t="s">
        <v>383</v>
      </c>
      <c r="C241" s="79" t="s">
        <v>549</v>
      </c>
      <c r="F241" s="8">
        <f>IF(MODE_UVLO=1, IF(D151&lt;1, D151*1000, IF(D151&lt;1000, D151, D151/1000)), "")</f>
        <v>0</v>
      </c>
      <c r="G241" s="79" t="str">
        <f>IF(MODE_UVLO=1, IF(D151&lt;1, "Ω", IF(D151&lt;1000,"kΩ", "MΩ")), "")</f>
        <v>Ω</v>
      </c>
      <c r="H241" s="393">
        <f>IF(MODE_UVLO=1, IF(D151&lt;1, D151*1000, IF(D151&lt;1000, D151&amp;"k", D151&amp;"M")), "")</f>
        <v>0</v>
      </c>
      <c r="I241" s="26"/>
    </row>
    <row r="242" spans="1:9" x14ac:dyDescent="0.2">
      <c r="A242" s="25"/>
      <c r="B242" s="79"/>
      <c r="C242" s="79"/>
      <c r="F242" s="8"/>
      <c r="G242" s="79"/>
      <c r="H242" s="393"/>
      <c r="I242" s="26"/>
    </row>
    <row r="243" spans="1:9" x14ac:dyDescent="0.2">
      <c r="A243" s="403" t="s">
        <v>389</v>
      </c>
      <c r="B243" s="80"/>
      <c r="C243" s="166"/>
      <c r="D243" s="8"/>
      <c r="E243" s="115"/>
      <c r="F243" s="8"/>
      <c r="G243" s="8"/>
      <c r="H243" s="8"/>
      <c r="I243" s="26"/>
    </row>
    <row r="244" spans="1:9" x14ac:dyDescent="0.2">
      <c r="A244" s="25" t="str">
        <f>"Css = "&amp;Css*1000000000&amp;"nF"</f>
        <v>Css = 40nF</v>
      </c>
      <c r="B244" s="8" t="str">
        <f>Css*1000000000&amp;"nF"</f>
        <v>40nF</v>
      </c>
      <c r="D244" s="8"/>
      <c r="E244" s="8"/>
      <c r="F244" s="8"/>
      <c r="G244" s="8"/>
      <c r="H244" s="8"/>
      <c r="I244" s="26"/>
    </row>
    <row r="245" spans="1:9" x14ac:dyDescent="0.2">
      <c r="A245" s="25" t="s">
        <v>66</v>
      </c>
      <c r="B245" s="8" t="str">
        <f>CHOOSE(MODE_SS,'Standard Value Calculator'!B4*1000000000&amp;"nF","")</f>
        <v>39nF</v>
      </c>
      <c r="C245" s="8" t="str">
        <f>CHOOSE(MODE_SS,"Css","")</f>
        <v>Css</v>
      </c>
      <c r="D245" s="404" t="str">
        <f>B245</f>
        <v>39nF</v>
      </c>
      <c r="E245" s="8"/>
      <c r="F245" s="8"/>
      <c r="G245" s="8"/>
      <c r="H245" s="8"/>
      <c r="I245" s="26"/>
    </row>
    <row r="246" spans="1:9" x14ac:dyDescent="0.2">
      <c r="A246" s="25"/>
      <c r="B246" s="8"/>
      <c r="C246" s="79" t="str">
        <f>C245</f>
        <v>Css</v>
      </c>
      <c r="D246" s="41"/>
      <c r="E246" s="8"/>
      <c r="F246" s="8"/>
      <c r="G246" s="8"/>
      <c r="H246" s="8"/>
      <c r="I246" s="26"/>
    </row>
    <row r="247" spans="1:9" x14ac:dyDescent="0.2">
      <c r="A247" s="25"/>
      <c r="B247" s="8"/>
      <c r="C247" s="79"/>
      <c r="D247" s="41"/>
      <c r="E247" s="8"/>
      <c r="F247" s="8"/>
      <c r="G247" s="8"/>
      <c r="H247" s="8"/>
      <c r="I247" s="26"/>
    </row>
    <row r="248" spans="1:9" x14ac:dyDescent="0.2">
      <c r="A248" s="112" t="s">
        <v>662</v>
      </c>
      <c r="B248" s="79">
        <f>ROUND(Iout*2,1)</f>
        <v>0.2</v>
      </c>
      <c r="C248" s="79" t="s">
        <v>1</v>
      </c>
      <c r="D248" s="8"/>
      <c r="E248" s="8"/>
      <c r="F248" s="8"/>
      <c r="G248" s="8"/>
      <c r="H248" s="8"/>
      <c r="I248" s="26"/>
    </row>
    <row r="249" spans="1:9" x14ac:dyDescent="0.2">
      <c r="A249" s="112" t="s">
        <v>663</v>
      </c>
      <c r="B249">
        <f>ROUND(VRRM_DIODE,0)</f>
        <v>39</v>
      </c>
      <c r="C249" s="79" t="s">
        <v>0</v>
      </c>
      <c r="D249" s="8"/>
      <c r="E249" s="8"/>
      <c r="F249" s="8"/>
      <c r="G249" s="8"/>
      <c r="H249" s="8"/>
      <c r="I249" s="26"/>
    </row>
    <row r="250" spans="1:9" x14ac:dyDescent="0.2">
      <c r="F250" s="8"/>
      <c r="G250" s="8"/>
      <c r="H250" s="8"/>
      <c r="I250" s="26"/>
    </row>
    <row r="251" spans="1:9" x14ac:dyDescent="0.2">
      <c r="A251" s="112"/>
      <c r="B251" s="374"/>
      <c r="C251" s="8"/>
      <c r="D251" s="8"/>
      <c r="E251" s="8"/>
      <c r="F251" s="8"/>
      <c r="G251" s="8"/>
      <c r="H251" s="8"/>
      <c r="I251" s="26"/>
    </row>
    <row r="252" spans="1:9" x14ac:dyDescent="0.2">
      <c r="A252" s="112" t="s">
        <v>129</v>
      </c>
      <c r="B252" s="79" t="s">
        <v>314</v>
      </c>
      <c r="C252" s="8"/>
      <c r="D252" s="8"/>
      <c r="E252" s="8"/>
      <c r="F252" s="8"/>
      <c r="G252" s="8"/>
      <c r="H252" s="8"/>
      <c r="I252" s="26"/>
    </row>
    <row r="253" spans="1:9" x14ac:dyDescent="0.2">
      <c r="A253" s="112"/>
      <c r="B253" s="79"/>
      <c r="C253" s="8"/>
      <c r="D253" s="8"/>
      <c r="E253" s="8"/>
      <c r="F253" s="8"/>
      <c r="G253" s="8"/>
      <c r="H253" s="8"/>
      <c r="I253" s="26"/>
    </row>
    <row r="254" spans="1:9" x14ac:dyDescent="0.2">
      <c r="A254" s="112" t="s">
        <v>184</v>
      </c>
      <c r="B254" s="359" t="str">
        <f>CHOOSE(MODE, ROUND('Calculations - Single'!$CA$105,1)&amp;"%", ROUND('Calculations - Dual'!CA105,1)&amp;"%")</f>
        <v>92.5%</v>
      </c>
      <c r="C254" s="8"/>
      <c r="D254" s="8"/>
      <c r="E254" s="8"/>
      <c r="F254" s="8"/>
      <c r="G254" s="8"/>
      <c r="H254" s="8"/>
      <c r="I254" s="26"/>
    </row>
    <row r="255" spans="1:9" x14ac:dyDescent="0.2">
      <c r="A255" s="112" t="s">
        <v>505</v>
      </c>
      <c r="B255" s="359" t="str">
        <f>ROUND('Calculations - Single'!$CA$55,1)&amp;"%"</f>
        <v>90.8%</v>
      </c>
      <c r="C255" s="8"/>
      <c r="D255" s="8"/>
      <c r="E255" s="8"/>
      <c r="F255" s="8"/>
      <c r="G255" s="8"/>
      <c r="H255" s="8"/>
      <c r="I255" s="26"/>
    </row>
    <row r="256" spans="1:9" x14ac:dyDescent="0.2">
      <c r="A256" s="112" t="s">
        <v>311</v>
      </c>
      <c r="B256" s="359" t="str">
        <f>ROUND('Calculations - Single'!$CA$15,1)&amp;"%"</f>
        <v>87.5%</v>
      </c>
      <c r="C256" s="79" t="s">
        <v>316</v>
      </c>
      <c r="D256" s="8"/>
      <c r="E256" s="8"/>
      <c r="F256" s="8"/>
      <c r="G256" s="8"/>
      <c r="H256" s="8"/>
      <c r="I256" s="26"/>
    </row>
    <row r="257" spans="1:9" x14ac:dyDescent="0.2">
      <c r="A257" s="112" t="s">
        <v>315</v>
      </c>
      <c r="B257" s="359" t="str">
        <f>ROUND(Parameters!BZ56,1)&amp;"%"</f>
        <v>0%</v>
      </c>
      <c r="C257" s="79" t="s">
        <v>317</v>
      </c>
      <c r="D257" s="8"/>
      <c r="E257" s="8"/>
      <c r="F257" s="8"/>
      <c r="G257" s="8"/>
      <c r="H257" s="8"/>
      <c r="I257" s="26"/>
    </row>
    <row r="258" spans="1:9" x14ac:dyDescent="0.2">
      <c r="A258" s="25"/>
      <c r="B258" s="8"/>
      <c r="C258" s="41"/>
      <c r="D258" s="8"/>
      <c r="E258" s="8"/>
      <c r="F258" s="8"/>
      <c r="G258" s="8"/>
      <c r="H258" s="8"/>
      <c r="I258" s="26"/>
    </row>
    <row r="259" spans="1:9" x14ac:dyDescent="0.2">
      <c r="A259" s="25"/>
      <c r="B259" s="8"/>
      <c r="C259" s="41"/>
      <c r="D259" s="8"/>
      <c r="E259" s="8"/>
      <c r="F259" s="8"/>
      <c r="G259" s="8"/>
      <c r="H259" s="8"/>
      <c r="I259" s="26"/>
    </row>
    <row r="260" spans="1:9" x14ac:dyDescent="0.2">
      <c r="A260" s="25"/>
      <c r="B260" s="8"/>
      <c r="C260" s="41"/>
      <c r="D260" s="8"/>
      <c r="E260" s="8"/>
      <c r="F260" s="8"/>
      <c r="G260" s="8"/>
      <c r="H260" s="8"/>
      <c r="I260" s="26"/>
    </row>
    <row r="261" spans="1:9" x14ac:dyDescent="0.2">
      <c r="A261" s="25" t="s">
        <v>80</v>
      </c>
      <c r="B261" s="8" t="str">
        <f>IF(C261="y","","|")</f>
        <v>|</v>
      </c>
      <c r="C261" s="41" t="s">
        <v>323</v>
      </c>
      <c r="D261" s="8"/>
      <c r="E261" s="8"/>
      <c r="F261" s="8"/>
      <c r="G261" s="8"/>
      <c r="H261" s="8"/>
      <c r="I261" s="26"/>
    </row>
    <row r="262" spans="1:9" x14ac:dyDescent="0.2">
      <c r="A262" s="25"/>
      <c r="B262" s="8"/>
      <c r="C262" s="41"/>
      <c r="D262" s="8"/>
      <c r="E262" s="8"/>
      <c r="F262" s="8"/>
      <c r="G262" s="8"/>
      <c r="H262" s="8"/>
      <c r="I262" s="26"/>
    </row>
    <row r="263" spans="1:9" x14ac:dyDescent="0.2">
      <c r="A263" s="511" t="s">
        <v>86</v>
      </c>
      <c r="B263" s="8" t="str">
        <f>'Design Converter'!$E$11&amp;"A"</f>
        <v>0.11A</v>
      </c>
      <c r="C263" s="41"/>
      <c r="D263" s="8"/>
      <c r="E263" s="8"/>
      <c r="F263" s="8"/>
      <c r="G263" s="8"/>
      <c r="H263" s="8"/>
      <c r="I263" s="26"/>
    </row>
    <row r="264" spans="1:9" x14ac:dyDescent="0.2">
      <c r="A264" s="511" t="s">
        <v>524</v>
      </c>
      <c r="B264" s="8" t="str">
        <f>IF(MODE_TOP="DUAL", 'Design Converter'!$E$13&amp;"A", "")</f>
        <v/>
      </c>
      <c r="C264" s="41"/>
      <c r="D264" s="79">
        <f>MODE</f>
        <v>1</v>
      </c>
      <c r="E264" s="8"/>
      <c r="F264" s="8"/>
      <c r="G264" s="8"/>
      <c r="H264" s="8"/>
      <c r="I264" s="26"/>
    </row>
    <row r="265" spans="1:9" x14ac:dyDescent="0.2">
      <c r="A265" s="511" t="s">
        <v>523</v>
      </c>
      <c r="B265" s="8" t="str">
        <f>IF(MODE_TOP="BIPOLAR", Iout2_actual&amp;"A", "")</f>
        <v/>
      </c>
      <c r="C265" s="41"/>
      <c r="D265" s="8"/>
      <c r="E265" s="8"/>
      <c r="F265" s="8"/>
      <c r="G265" s="8"/>
      <c r="H265" s="8"/>
      <c r="I265" s="26"/>
    </row>
    <row r="266" spans="1:9" x14ac:dyDescent="0.2">
      <c r="A266" s="25"/>
      <c r="B266" s="8"/>
      <c r="C266" s="41"/>
      <c r="D266" s="8"/>
      <c r="E266" s="8"/>
      <c r="F266" s="8"/>
      <c r="G266" s="8"/>
      <c r="H266" s="8"/>
      <c r="I266" s="26"/>
    </row>
    <row r="267" spans="1:9" x14ac:dyDescent="0.2">
      <c r="A267" s="112" t="s">
        <v>94</v>
      </c>
      <c r="B267" s="8">
        <v>1</v>
      </c>
      <c r="C267" s="41"/>
      <c r="D267" s="8"/>
      <c r="E267" s="8"/>
      <c r="F267" s="8"/>
      <c r="G267" s="8"/>
      <c r="H267" s="8"/>
      <c r="I267" s="26"/>
    </row>
    <row r="268" spans="1:9" x14ac:dyDescent="0.2">
      <c r="A268" s="112" t="s">
        <v>93</v>
      </c>
      <c r="B268" s="8">
        <v>2</v>
      </c>
      <c r="C268" s="41"/>
      <c r="D268" s="8"/>
      <c r="E268" s="8"/>
      <c r="F268" s="8"/>
      <c r="G268" s="8"/>
      <c r="H268" s="8"/>
      <c r="I268" s="26"/>
    </row>
    <row r="269" spans="1:9" x14ac:dyDescent="0.2">
      <c r="A269" s="614" t="s">
        <v>57</v>
      </c>
      <c r="B269" s="8">
        <v>3</v>
      </c>
      <c r="C269" s="41"/>
      <c r="D269" s="8"/>
      <c r="E269" s="8"/>
      <c r="F269" s="8"/>
      <c r="G269" s="8"/>
      <c r="H269" s="8"/>
      <c r="I269" s="26"/>
    </row>
    <row r="270" spans="1:9" x14ac:dyDescent="0.2">
      <c r="A270" s="112" t="s">
        <v>570</v>
      </c>
      <c r="B270" s="8">
        <v>4</v>
      </c>
      <c r="C270" s="41"/>
      <c r="D270" s="8"/>
      <c r="E270" s="8"/>
      <c r="F270" s="8"/>
      <c r="G270" s="8"/>
      <c r="H270" s="8"/>
      <c r="I270" s="26"/>
    </row>
    <row r="271" spans="1:9" x14ac:dyDescent="0.2">
      <c r="A271" s="112" t="s">
        <v>571</v>
      </c>
      <c r="B271" s="8">
        <v>5</v>
      </c>
      <c r="C271" s="41"/>
      <c r="D271" s="8"/>
      <c r="E271" s="8"/>
      <c r="F271" s="8"/>
      <c r="G271" s="8"/>
      <c r="H271" s="8"/>
      <c r="I271" s="26"/>
    </row>
    <row r="272" spans="1:9" x14ac:dyDescent="0.2">
      <c r="A272" s="112" t="s">
        <v>572</v>
      </c>
      <c r="B272" s="8">
        <v>6</v>
      </c>
      <c r="C272" s="41"/>
      <c r="D272" s="8"/>
      <c r="E272" s="8"/>
      <c r="F272" s="8"/>
      <c r="G272" s="8"/>
      <c r="H272" s="8"/>
      <c r="I272" s="26"/>
    </row>
    <row r="273" spans="1:9" x14ac:dyDescent="0.2">
      <c r="A273" s="112" t="s">
        <v>573</v>
      </c>
      <c r="B273" s="8">
        <v>7</v>
      </c>
      <c r="C273" s="41"/>
      <c r="D273" s="8"/>
      <c r="E273" s="8"/>
      <c r="F273" s="8"/>
      <c r="G273" s="8"/>
      <c r="H273" s="8"/>
      <c r="I273" s="26"/>
    </row>
    <row r="274" spans="1:9" x14ac:dyDescent="0.2">
      <c r="A274" s="614" t="s">
        <v>92</v>
      </c>
      <c r="B274" s="8">
        <v>8</v>
      </c>
      <c r="C274" s="41"/>
      <c r="D274" s="8"/>
      <c r="E274" s="8"/>
      <c r="F274" s="8"/>
      <c r="G274" s="8"/>
      <c r="H274" s="8"/>
      <c r="I274" s="26"/>
    </row>
    <row r="275" spans="1:9" ht="13.5" thickBot="1" x14ac:dyDescent="0.25">
      <c r="A275" s="213"/>
      <c r="B275" s="30"/>
      <c r="C275" s="165"/>
      <c r="D275" s="30"/>
      <c r="E275" s="30"/>
      <c r="F275" s="30"/>
      <c r="G275" s="30"/>
      <c r="H275" s="30"/>
      <c r="I275" s="31"/>
    </row>
  </sheetData>
  <sheetProtection selectLockedCells="1"/>
  <mergeCells count="2">
    <mergeCell ref="E5:H5"/>
    <mergeCell ref="A1:I1"/>
  </mergeCells>
  <phoneticPr fontId="6" type="noConversion"/>
  <pageMargins left="0.75" right="0.75" top="1" bottom="1" header="0.5" footer="0.5"/>
  <pageSetup orientation="portrait" r:id="rId1"/>
  <headerFooter alignWithMargins="0"/>
  <ignoredErrors>
    <ignoredError sqref="R56:R60"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721921" r:id="rId4" name="Drop Down 1">
              <controlPr locked="0" defaultSize="0" autoLine="0" autoPict="0">
                <anchor moveWithCells="1">
                  <from>
                    <xdr:col>9</xdr:col>
                    <xdr:colOff>447675</xdr:colOff>
                    <xdr:row>6</xdr:row>
                    <xdr:rowOff>19050</xdr:rowOff>
                  </from>
                  <to>
                    <xdr:col>10</xdr:col>
                    <xdr:colOff>666750</xdr:colOff>
                    <xdr:row>7</xdr:row>
                    <xdr:rowOff>95250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7030A0"/>
  </sheetPr>
  <dimension ref="B1:CG321"/>
  <sheetViews>
    <sheetView zoomScaleNormal="100" workbookViewId="0">
      <pane xSplit="6" ySplit="4" topLeftCell="AU5" activePane="bottomRight" state="frozen"/>
      <selection pane="topRight" activeCell="G1" sqref="G1"/>
      <selection pane="bottomLeft" activeCell="A5" sqref="A5"/>
      <selection pane="bottomRight" activeCell="BM5" sqref="BM5"/>
    </sheetView>
  </sheetViews>
  <sheetFormatPr defaultRowHeight="12.75" x14ac:dyDescent="0.2"/>
  <cols>
    <col min="1" max="1" width="2.85546875" customWidth="1"/>
    <col min="2" max="2" width="3.5703125" customWidth="1"/>
    <col min="3" max="3" width="2.85546875" customWidth="1"/>
    <col min="4" max="4" width="3.7109375" customWidth="1"/>
    <col min="5" max="5" width="6.140625" customWidth="1"/>
    <col min="6" max="7" width="7.7109375" customWidth="1"/>
    <col min="8" max="8" width="7.85546875" customWidth="1"/>
    <col min="9" max="9" width="6.28515625" customWidth="1"/>
    <col min="10" max="10" width="9.5703125" customWidth="1"/>
    <col min="11" max="11" width="9.28515625" customWidth="1"/>
    <col min="12" max="12" width="1.85546875" customWidth="1"/>
    <col min="13" max="13" width="8.42578125" customWidth="1"/>
    <col min="14" max="15" width="9.5703125" customWidth="1"/>
    <col min="16" max="16" width="8.85546875" customWidth="1"/>
    <col min="17" max="18" width="8.5703125" customWidth="1"/>
    <col min="19" max="19" width="12.42578125" customWidth="1"/>
    <col min="20" max="20" width="10.42578125" customWidth="1"/>
    <col min="21" max="21" width="7.5703125" customWidth="1"/>
    <col min="22" max="22" width="9" customWidth="1"/>
    <col min="23" max="23" width="8.85546875" customWidth="1"/>
    <col min="24" max="24" width="10" customWidth="1"/>
    <col min="25" max="25" width="9.5703125" customWidth="1"/>
    <col min="26" max="26" width="1.85546875" customWidth="1"/>
    <col min="27" max="27" width="9.85546875" customWidth="1"/>
    <col min="28" max="28" width="10.42578125" customWidth="1"/>
    <col min="29" max="29" width="10.140625" customWidth="1"/>
    <col min="30" max="30" width="2" customWidth="1"/>
    <col min="31" max="31" width="9.140625" customWidth="1"/>
    <col min="32" max="32" width="9.42578125" customWidth="1"/>
    <col min="33" max="33" width="10.42578125" customWidth="1"/>
    <col min="34" max="34" width="2.140625" customWidth="1"/>
    <col min="36" max="36" width="8" customWidth="1"/>
    <col min="38" max="38" width="2.28515625" customWidth="1"/>
    <col min="39" max="39" width="6.5703125" customWidth="1"/>
    <col min="40" max="40" width="7.5703125" customWidth="1"/>
    <col min="41" max="41" width="2" customWidth="1"/>
    <col min="42" max="42" width="6.42578125" customWidth="1"/>
    <col min="43" max="43" width="7.5703125" customWidth="1"/>
    <col min="44" max="44" width="2.140625" customWidth="1"/>
    <col min="45" max="48" width="7" customWidth="1"/>
    <col min="49" max="50" width="8.42578125" customWidth="1"/>
    <col min="51" max="52" width="11" customWidth="1"/>
    <col min="53" max="53" width="9.42578125" customWidth="1"/>
    <col min="54" max="54" width="9.85546875" customWidth="1"/>
    <col min="55" max="55" width="2" customWidth="1"/>
    <col min="58" max="58" width="2.140625" customWidth="1"/>
    <col min="59" max="59" width="9" customWidth="1"/>
    <col min="60" max="61" width="8.140625" customWidth="1"/>
    <col min="62" max="62" width="8.7109375" customWidth="1"/>
    <col min="63" max="63" width="7.5703125" customWidth="1"/>
    <col min="64" max="64" width="10.5703125" customWidth="1"/>
    <col min="65" max="65" width="8.7109375" customWidth="1"/>
    <col min="66" max="67" width="10.28515625" customWidth="1"/>
    <col min="68" max="69" width="10.5703125" customWidth="1"/>
    <col min="70" max="70" width="8.7109375" customWidth="1"/>
    <col min="72" max="72" width="9.85546875" customWidth="1"/>
    <col min="73" max="73" width="11.5703125" customWidth="1"/>
    <col min="74" max="74" width="12.140625" customWidth="1"/>
    <col min="75" max="75" width="9.140625" customWidth="1"/>
    <col min="77" max="77" width="7.7109375" customWidth="1"/>
    <col min="78" max="78" width="10.42578125" customWidth="1"/>
    <col min="79" max="79" width="12.42578125" bestFit="1" customWidth="1"/>
    <col min="80" max="80" width="4.5703125" customWidth="1"/>
    <col min="81" max="81" width="5" customWidth="1"/>
    <col min="82" max="82" width="9.5703125" customWidth="1"/>
  </cols>
  <sheetData>
    <row r="1" spans="2:83" x14ac:dyDescent="0.2">
      <c r="B1" s="456" t="s">
        <v>530</v>
      </c>
      <c r="M1">
        <f>Vfwd2</f>
        <v>0.3</v>
      </c>
      <c r="BB1">
        <f>Ltc</f>
        <v>4.0000000000000001E-3</v>
      </c>
      <c r="BS1">
        <f>Ta</f>
        <v>25</v>
      </c>
    </row>
    <row r="2" spans="2:83" ht="13.5" thickBot="1" x14ac:dyDescent="0.25">
      <c r="M2">
        <f>Vfwd1</f>
        <v>0.25</v>
      </c>
      <c r="U2">
        <f>Isw_max</f>
        <v>1.45</v>
      </c>
    </row>
    <row r="3" spans="2:83" x14ac:dyDescent="0.2">
      <c r="E3" s="226" t="s">
        <v>432</v>
      </c>
      <c r="F3" s="558"/>
      <c r="G3" s="558"/>
      <c r="H3" s="558"/>
      <c r="I3" s="227"/>
      <c r="J3" s="228"/>
      <c r="K3" s="542"/>
      <c r="L3" s="542"/>
      <c r="M3" s="689" t="s">
        <v>190</v>
      </c>
      <c r="N3" s="690"/>
      <c r="O3" s="691"/>
      <c r="P3" s="689"/>
      <c r="Q3" s="689"/>
      <c r="R3" s="691"/>
      <c r="S3" s="691"/>
      <c r="T3" s="691"/>
      <c r="U3" s="689"/>
      <c r="V3" s="690"/>
      <c r="W3" s="690"/>
      <c r="X3" s="689"/>
      <c r="Y3" s="690"/>
      <c r="Z3" s="689"/>
      <c r="AA3" s="692"/>
      <c r="AB3" s="551"/>
      <c r="AC3" s="551"/>
      <c r="AD3" s="551"/>
      <c r="AE3" s="551"/>
      <c r="AF3" s="551"/>
      <c r="AG3" s="551"/>
      <c r="AH3" s="551"/>
      <c r="AI3" s="551"/>
      <c r="AJ3" s="551"/>
      <c r="AK3" s="551"/>
      <c r="AL3" s="551"/>
      <c r="AM3" s="551"/>
      <c r="AN3" s="551"/>
      <c r="AO3" s="551"/>
      <c r="AP3" s="551"/>
      <c r="AQ3" s="551"/>
      <c r="AR3" s="551"/>
      <c r="AS3" s="551" t="s">
        <v>471</v>
      </c>
      <c r="AT3" s="551"/>
      <c r="AU3" s="551"/>
      <c r="AV3" s="551"/>
      <c r="AW3" s="551"/>
      <c r="AX3" s="551"/>
      <c r="AY3" s="551"/>
      <c r="AZ3" s="551"/>
      <c r="BA3" s="551" t="s">
        <v>481</v>
      </c>
      <c r="BB3" s="551"/>
      <c r="BC3" s="551"/>
      <c r="BD3" s="577" t="s">
        <v>482</v>
      </c>
      <c r="BE3" s="551"/>
      <c r="BF3" s="551"/>
      <c r="BG3" s="577" t="s">
        <v>506</v>
      </c>
      <c r="BH3" s="551"/>
      <c r="BI3" s="551"/>
      <c r="BJ3" s="551"/>
      <c r="BK3" s="551"/>
      <c r="BL3" s="551"/>
      <c r="BM3" s="551"/>
      <c r="BN3" s="577" t="s">
        <v>502</v>
      </c>
      <c r="BO3" s="551"/>
      <c r="BP3" s="551"/>
      <c r="BQ3" s="551"/>
      <c r="BR3" s="578" t="s">
        <v>503</v>
      </c>
      <c r="BS3" s="551"/>
      <c r="BT3" s="551"/>
      <c r="BU3" s="551"/>
      <c r="BV3" s="551"/>
      <c r="BW3" s="551"/>
      <c r="BX3" s="577"/>
      <c r="BY3" s="551"/>
      <c r="BZ3" s="551"/>
      <c r="CA3" s="551"/>
      <c r="CB3" s="551"/>
    </row>
    <row r="4" spans="2:83" ht="45" customHeight="1" thickBot="1" x14ac:dyDescent="0.25">
      <c r="E4" s="247" t="s">
        <v>25</v>
      </c>
      <c r="F4" s="455" t="s">
        <v>195</v>
      </c>
      <c r="G4" s="266"/>
      <c r="H4" s="545" t="s">
        <v>224</v>
      </c>
      <c r="I4" s="248" t="s">
        <v>423</v>
      </c>
      <c r="J4" s="249" t="s">
        <v>429</v>
      </c>
      <c r="K4" s="545" t="s">
        <v>424</v>
      </c>
      <c r="L4" s="545"/>
      <c r="M4" s="250" t="s">
        <v>48</v>
      </c>
      <c r="N4" s="545" t="s">
        <v>413</v>
      </c>
      <c r="O4" s="545" t="s">
        <v>681</v>
      </c>
      <c r="P4" s="545" t="s">
        <v>414</v>
      </c>
      <c r="Q4" s="545" t="s">
        <v>444</v>
      </c>
      <c r="R4" s="545" t="s">
        <v>679</v>
      </c>
      <c r="S4" s="545" t="s">
        <v>682</v>
      </c>
      <c r="T4" s="545" t="s">
        <v>680</v>
      </c>
      <c r="U4" s="545" t="s">
        <v>425</v>
      </c>
      <c r="V4" s="545" t="s">
        <v>477</v>
      </c>
      <c r="W4" s="545" t="s">
        <v>476</v>
      </c>
      <c r="X4" s="565" t="s">
        <v>431</v>
      </c>
      <c r="Y4" s="560" t="s">
        <v>436</v>
      </c>
      <c r="AA4" s="251" t="s">
        <v>428</v>
      </c>
      <c r="AB4" s="251" t="s">
        <v>475</v>
      </c>
      <c r="AC4" s="251" t="s">
        <v>434</v>
      </c>
      <c r="AD4" s="562"/>
      <c r="AE4" s="251" t="s">
        <v>474</v>
      </c>
      <c r="AF4" s="251" t="s">
        <v>437</v>
      </c>
      <c r="AG4" s="251" t="s">
        <v>438</v>
      </c>
      <c r="AH4" s="562"/>
      <c r="AI4" s="251" t="s">
        <v>440</v>
      </c>
      <c r="AJ4" s="566" t="s">
        <v>441</v>
      </c>
      <c r="AK4" s="566" t="s">
        <v>442</v>
      </c>
      <c r="AM4" s="561" t="s">
        <v>276</v>
      </c>
      <c r="AN4" s="561" t="s">
        <v>443</v>
      </c>
      <c r="AP4" s="251" t="s">
        <v>276</v>
      </c>
      <c r="AQ4" s="251" t="s">
        <v>443</v>
      </c>
      <c r="AR4" s="567"/>
      <c r="AS4" s="251" t="s">
        <v>478</v>
      </c>
      <c r="AT4" s="251" t="s">
        <v>472</v>
      </c>
      <c r="AU4" s="251" t="s">
        <v>473</v>
      </c>
      <c r="AV4" s="251" t="s">
        <v>678</v>
      </c>
      <c r="AW4" s="251" t="s">
        <v>48</v>
      </c>
      <c r="AX4" s="567" t="s">
        <v>676</v>
      </c>
      <c r="AY4" s="562" t="s">
        <v>675</v>
      </c>
      <c r="AZ4" s="562" t="s">
        <v>677</v>
      </c>
      <c r="BA4" s="251" t="s">
        <v>493</v>
      </c>
      <c r="BB4" s="251" t="s">
        <v>529</v>
      </c>
      <c r="BC4" s="562"/>
      <c r="BD4" s="576" t="s">
        <v>467</v>
      </c>
      <c r="BE4" s="251" t="s">
        <v>468</v>
      </c>
      <c r="BF4" s="562"/>
      <c r="BG4" s="576" t="s">
        <v>485</v>
      </c>
      <c r="BH4" s="251" t="s">
        <v>486</v>
      </c>
      <c r="BI4" s="251" t="s">
        <v>484</v>
      </c>
      <c r="BJ4" s="251" t="s">
        <v>480</v>
      </c>
      <c r="BK4" s="251" t="s">
        <v>489</v>
      </c>
      <c r="BL4" s="251" t="s">
        <v>696</v>
      </c>
      <c r="BM4" s="251" t="s">
        <v>504</v>
      </c>
      <c r="BN4" s="576" t="s">
        <v>487</v>
      </c>
      <c r="BO4" s="251" t="s">
        <v>488</v>
      </c>
      <c r="BP4" s="251" t="s">
        <v>496</v>
      </c>
      <c r="BQ4" s="251" t="s">
        <v>500</v>
      </c>
      <c r="BR4" s="576" t="s">
        <v>469</v>
      </c>
      <c r="BS4" s="251" t="s">
        <v>470</v>
      </c>
      <c r="BT4" s="251" t="s">
        <v>479</v>
      </c>
      <c r="BU4" s="251" t="s">
        <v>694</v>
      </c>
      <c r="BV4" s="251" t="s">
        <v>497</v>
      </c>
      <c r="BW4" s="251" t="s">
        <v>695</v>
      </c>
      <c r="BX4" s="576" t="s">
        <v>495</v>
      </c>
      <c r="BY4" s="251" t="s">
        <v>224</v>
      </c>
      <c r="BZ4" s="251" t="s">
        <v>47</v>
      </c>
      <c r="CA4" s="251" t="s">
        <v>498</v>
      </c>
      <c r="CB4" s="251"/>
      <c r="CD4" s="589" t="s">
        <v>691</v>
      </c>
      <c r="CE4" s="589" t="s">
        <v>692</v>
      </c>
    </row>
    <row r="5" spans="2:83" x14ac:dyDescent="0.2">
      <c r="E5" s="176">
        <v>0.1</v>
      </c>
      <c r="F5" s="223">
        <v>1.0000000000000001E-9</v>
      </c>
      <c r="G5" s="223"/>
      <c r="H5" s="223">
        <f t="shared" ref="H5:H36" si="0">F5*Vout</f>
        <v>2.4000000000000003E-8</v>
      </c>
      <c r="I5" s="559">
        <f t="shared" ref="I5:I36" si="1">Vin</f>
        <v>12</v>
      </c>
      <c r="J5" s="178">
        <f t="shared" ref="J5:J36" si="2">(T5+Vfwd1)*Nps</f>
        <v>24.25</v>
      </c>
      <c r="K5" s="454">
        <f t="shared" ref="K5:K36" si="3">(Vout+Vfwd1)*Nps+I5</f>
        <v>36.25</v>
      </c>
      <c r="L5" s="454"/>
      <c r="M5" s="223">
        <f t="shared" ref="M5:M36" si="4">(Vout+Vfwd1)*Nps/((Vout+Vfwd1)*Nps+I5)</f>
        <v>0.66896551724137931</v>
      </c>
      <c r="N5" s="178">
        <f t="shared" ref="N5:N68" si="5">M5*I5*Isw_max*0.5*Efficiency</f>
        <v>5.528999999999999</v>
      </c>
      <c r="O5" s="178">
        <f>T5*F5</f>
        <v>2.4000000000000003E-8</v>
      </c>
      <c r="P5" s="223">
        <f t="shared" ref="P5:P36" si="6">N5/Vout</f>
        <v>0.23037499999999997</v>
      </c>
      <c r="Q5" s="223">
        <f t="shared" ref="Q5:Q36" si="7">MIN(Vout,N5/F5)</f>
        <v>24</v>
      </c>
      <c r="R5" s="223">
        <f t="shared" ref="R5:R36" si="8">Isw_max/2*I5*Nps*(Q5+Vfwd1)/Q5/(I5+Nps*(Q5+Vfwd1))</f>
        <v>0.24250000000000002</v>
      </c>
      <c r="S5" s="178">
        <f t="shared" ref="S5:S36" si="9">(SQRT(Isw_max^2*Nps^2*I5^2+4*Isw_max*F5/Efficiency*(Nps^2*Vfwd1*I5-Nps*I5^2)+4*(F5/Efficiency)^2*Nps^2*Vfwd1^2+8*(F5/Efficiency)^2*Nps*Vfwd1*I5+4*(F5/Efficiency)^2*I5^2)-2*F5/Efficiency*I5-2*F5/Efficiency*Nps*Vfwd1+Isw_max*Nps*I5)/(4*F5/Efficiency*Nps)</f>
        <v>8264999987.9999981</v>
      </c>
      <c r="T5" s="178">
        <f t="shared" ref="T5:T36" si="10">MIN(Vout, S5)</f>
        <v>24</v>
      </c>
      <c r="U5" s="223">
        <f t="shared" ref="U5:U36" si="11">MIN(2*Vout*F5/(Efficiency*I5*M5), Isw_max)</f>
        <v>6.2940857297883902E-9</v>
      </c>
      <c r="V5" s="223">
        <f t="shared" ref="V5:V36" si="12">L*U5/I5*1000000</f>
        <v>2.4651835775004526E-8</v>
      </c>
      <c r="W5" s="223">
        <f t="shared" ref="W5:W36" si="13">L*U5/J5*1000000</f>
        <v>1.2198846569074407E-8</v>
      </c>
      <c r="X5" s="203">
        <f t="shared" ref="X5:X36" si="14">IF(1/((350000*L)*(1/I5+1/J5))&gt;Isw_min, 350, 0.001/((Isw_min*L)*(1/I5+1/J5)))</f>
        <v>350</v>
      </c>
      <c r="Y5" s="454">
        <f>MIN(1/(V5+W5)*1000, 350)</f>
        <v>350</v>
      </c>
      <c r="AA5" s="223">
        <f t="shared" ref="AA5:AA36" si="15">1/((X5*1000*L)*(1/I5+1/J5))</f>
        <v>0.48799916151346817</v>
      </c>
      <c r="AB5" s="179">
        <f t="shared" ref="AB5:AB36" si="16">L*AA5/J5*1000000</f>
        <v>0.94581280788177335</v>
      </c>
      <c r="AC5" s="179">
        <f t="shared" ref="AC5:AC36" si="17">0.5*AB5*AA5*Nps*X5/1000</f>
        <v>8.077227500912576E-2</v>
      </c>
      <c r="AD5" s="179"/>
      <c r="AE5" s="179">
        <f t="shared" ref="AE5:AE36" si="18">L*Isw_min/J5*1000000</f>
        <v>0.56206185567010303</v>
      </c>
      <c r="AF5" s="563">
        <f>MAX(10, F5/(0.5*AE5/1000000*Isw_min*Nps)/1000)</f>
        <v>10</v>
      </c>
      <c r="AG5" s="546">
        <f t="shared" ref="AG5:AG36" si="19">0.5*AE5/1000000*Isw_min*Nps*X5*1000</f>
        <v>2.8524639175257726E-2</v>
      </c>
      <c r="AI5" s="179">
        <f t="shared" ref="AI5:AI36" si="20">SQRT(F5/Efficiency/(0.5*L/J5*Fsw_DCM*Nps))</f>
        <v>5.5709096559266589E-5</v>
      </c>
      <c r="AJ5" s="179">
        <f t="shared" ref="AJ5:AJ36" si="21">MAX(IF(F5&gt;AC5,U5,AI5),Isw_min)</f>
        <v>0.28999999999999998</v>
      </c>
      <c r="AK5" s="179">
        <f t="shared" ref="AK5:AK36" si="22">IF(F5&gt;AG5, (AJ5-Isw_min)/1.08*0.8+1.2, AF5*0.2/350+1)</f>
        <v>1.0057142857142858</v>
      </c>
      <c r="AM5" s="563">
        <f t="shared" ref="AM5:AM36" si="23">F5*1000</f>
        <v>1.0000000000000002E-6</v>
      </c>
      <c r="AN5" s="472">
        <f t="shared" ref="AN5:AN36" si="24">IF(F5&gt;AG5, Y5, AF5)</f>
        <v>10</v>
      </c>
      <c r="AP5">
        <f t="shared" ref="AP5:AP36" si="25">IF(H5&gt;N5, "",AM5)</f>
        <v>1.0000000000000002E-6</v>
      </c>
      <c r="AQ5" s="472">
        <f t="shared" ref="AQ5:AQ36" si="26">IF(H5&gt;N5, "",AN5)</f>
        <v>10</v>
      </c>
      <c r="AR5" s="472"/>
      <c r="AS5" s="6">
        <f>1/AN5*1000</f>
        <v>100</v>
      </c>
      <c r="AT5" s="6">
        <f t="shared" ref="AT5:AT36" si="27">L*AJ5/I5*1000000</f>
        <v>1.1358333333333333</v>
      </c>
      <c r="AU5" s="6">
        <f>AS5-AT5</f>
        <v>98.864166666666662</v>
      </c>
      <c r="AV5" s="6">
        <f t="shared" ref="AV5:AV36" si="28">L*AJ5/J5*1000000</f>
        <v>0.56206185567010303</v>
      </c>
      <c r="AW5" s="179">
        <f>AT5/AS5</f>
        <v>1.1358333333333333E-2</v>
      </c>
      <c r="AX5" s="179">
        <f t="shared" ref="AX5:AX36" si="29">0.5*L*AJ5^2*AN5*1000</f>
        <v>1.9763499999999996E-2</v>
      </c>
      <c r="AY5" s="179">
        <f t="shared" ref="AY5:AY36" si="30">AJ5*Nps/2*(1-AW5)</f>
        <v>0.14335304166666665</v>
      </c>
      <c r="AZ5" s="179">
        <f>AX5/AY5</f>
        <v>0.13786592715594628</v>
      </c>
      <c r="BA5" s="472">
        <f t="shared" ref="BA5:BA36" si="31">F5*AT5/Vout_ripple*1000</f>
        <v>4.7326388888888881E-9</v>
      </c>
      <c r="BB5" s="6">
        <f t="shared" ref="BB5:BB36" si="32">H5/Efficiency/I5*AU5/Vinripple1</f>
        <v>3.4689181286549706E-7</v>
      </c>
      <c r="BC5" s="6"/>
      <c r="BD5" s="179">
        <f>AJ5*SQRT(AW5/3)</f>
        <v>1.7844101110575574E-2</v>
      </c>
      <c r="BE5" s="179">
        <f t="shared" ref="BE5:BE36" si="33">AJ5*Nps*SQRT((1-AW5)/3)</f>
        <v>0.16647799070414349</v>
      </c>
      <c r="BF5" s="179"/>
      <c r="BG5" s="546">
        <f t="shared" ref="BG5:BG36" si="34">Rdson*BD5^2</f>
        <v>1.1144418055555553E-4</v>
      </c>
      <c r="BH5" s="546">
        <f t="shared" ref="BH5:BH36" si="35">0.5*K5*AJ5*AN5*1000*Trise</f>
        <v>7.8843749999999997E-4</v>
      </c>
      <c r="BI5" s="546">
        <f t="shared" ref="BI5:BI36" si="36">Qg*Vdd*AN5*1000</f>
        <v>1.25E-4</v>
      </c>
      <c r="BJ5" s="546">
        <f t="shared" ref="BJ5:BJ36" si="37">0.5*(Coss+Csw)*K5^2*AN5*1000</f>
        <v>6.5703125000000006E-4</v>
      </c>
      <c r="BK5">
        <f t="shared" ref="BK5:BK36" si="38">I5*IQ</f>
        <v>3.48E-3</v>
      </c>
      <c r="BL5" s="546">
        <f t="shared" ref="BL5:BL36" si="39">(BH5+BI5+BJ5+BK5+BG5*(1+RdsonTC*(Ta-25)))/(1-BG5*RdsonTC*ThetaJA)</f>
        <v>5.1621122676298158E-3</v>
      </c>
      <c r="BM5" s="472">
        <f>BL5*1000</f>
        <v>5.1621122676298157</v>
      </c>
      <c r="BN5" s="546">
        <f t="shared" ref="BN5:BN36" si="40">Vfwd2*F5*(1+Diode_TC/1000*(Ta-25))</f>
        <v>3E-10</v>
      </c>
      <c r="BO5" s="546"/>
      <c r="BQ5" s="472">
        <f>SUM(BN5:BP5)*1000</f>
        <v>2.9999999999999999E-7</v>
      </c>
      <c r="BR5" s="546">
        <f t="shared" ref="BR5:BR36" si="41">Rdcr_pri*BD5^2</f>
        <v>6.3682388888888883E-5</v>
      </c>
      <c r="BS5" s="546">
        <f t="shared" ref="BS5:BS36" si="42">Rdcr_sec*BE5^2</f>
        <v>5.5429842777777773E-3</v>
      </c>
      <c r="BT5" s="546">
        <f t="shared" ref="BT5:BT36" si="43">AJ5^2.5*AN5^2.5*k_core</f>
        <v>7.1608569668720578E-7</v>
      </c>
      <c r="BU5" s="546">
        <f t="shared" ref="BU5:BU36" si="44">(BT5+(BR5+BS5)*(1+Ltc*(Ta-25)))/(1-(BR5+BS5)*Ltc*ThetaCa)</f>
        <v>5.6098989790520906E-3</v>
      </c>
      <c r="BV5" s="546">
        <f t="shared" ref="BV5:BV36" si="45">0.5*Lleak*0.000000001*AJ5^2*AN5*1000</f>
        <v>1.55585E-4</v>
      </c>
      <c r="BW5" s="472">
        <f>1000*(BU5+BV5)</f>
        <v>5.7654839790520906</v>
      </c>
      <c r="BX5" s="179">
        <f>SUM(BL5,BN5:BP5,BU5, BV5)</f>
        <v>1.0927596546681906E-2</v>
      </c>
      <c r="BY5" s="6">
        <f>MIN(H5,O5)</f>
        <v>2.4000000000000003E-8</v>
      </c>
      <c r="BZ5" s="179">
        <f>BY5/(BY5+BX5)</f>
        <v>2.1962695261492614E-6</v>
      </c>
      <c r="CA5" s="6">
        <f>BZ5*100</f>
        <v>2.1962695261492615E-4</v>
      </c>
      <c r="CD5" s="581">
        <f t="shared" ref="CD5:CD36" si="46">IF(ABS(F5-Ioutmax_Vinnom)&lt;Iout/200, AN5, -50)</f>
        <v>-50</v>
      </c>
      <c r="CE5">
        <f t="shared" ref="CE5:CE36" si="47">IF(ABS(F5-Ioutmax_Vinnom)&lt;Iout/200, N5*BZ5, -50)</f>
        <v>-50</v>
      </c>
    </row>
    <row r="6" spans="2:83" x14ac:dyDescent="0.2">
      <c r="E6" s="176">
        <v>1</v>
      </c>
      <c r="F6" s="223">
        <f t="shared" ref="F6:F37" si="48">IF(PLOT_TYPE=1, E6/100*Iout_max, min_I*EXP(N6*rr/100))</f>
        <v>1.1000000000000001E-3</v>
      </c>
      <c r="G6" s="223"/>
      <c r="H6" s="223">
        <f t="shared" si="0"/>
        <v>2.64E-2</v>
      </c>
      <c r="I6" s="559">
        <f t="shared" si="1"/>
        <v>12</v>
      </c>
      <c r="J6" s="178">
        <f t="shared" si="2"/>
        <v>24.25</v>
      </c>
      <c r="K6" s="454">
        <f t="shared" si="3"/>
        <v>36.25</v>
      </c>
      <c r="L6" s="454"/>
      <c r="M6" s="223">
        <f t="shared" si="4"/>
        <v>0.66896551724137931</v>
      </c>
      <c r="N6" s="178">
        <f t="shared" si="5"/>
        <v>5.528999999999999</v>
      </c>
      <c r="O6" s="178">
        <f t="shared" ref="O6:O69" si="49">T6*F6</f>
        <v>2.64E-2</v>
      </c>
      <c r="P6" s="223">
        <f t="shared" si="6"/>
        <v>0.23037499999999997</v>
      </c>
      <c r="Q6" s="223">
        <f t="shared" si="7"/>
        <v>24</v>
      </c>
      <c r="R6" s="223">
        <f t="shared" si="8"/>
        <v>0.24250000000000002</v>
      </c>
      <c r="S6" s="178">
        <f t="shared" si="9"/>
        <v>7501.6367635357592</v>
      </c>
      <c r="T6" s="178">
        <f t="shared" si="10"/>
        <v>24</v>
      </c>
      <c r="U6" s="223">
        <f t="shared" si="11"/>
        <v>6.9234943027672276E-3</v>
      </c>
      <c r="V6" s="223">
        <f t="shared" si="12"/>
        <v>2.7117019352504972E-2</v>
      </c>
      <c r="W6" s="223">
        <f t="shared" si="13"/>
        <v>1.3418731225981844E-2</v>
      </c>
      <c r="X6" s="203">
        <f t="shared" si="14"/>
        <v>350</v>
      </c>
      <c r="Y6" s="454">
        <f t="shared" ref="Y6:Y69" si="50">MIN(1/(V6+W6)*1000, 350)</f>
        <v>350</v>
      </c>
      <c r="AA6" s="223">
        <f t="shared" si="15"/>
        <v>0.48799916151346817</v>
      </c>
      <c r="AB6" s="179">
        <f t="shared" si="16"/>
        <v>0.94581280788177335</v>
      </c>
      <c r="AC6" s="179">
        <f t="shared" si="17"/>
        <v>8.077227500912576E-2</v>
      </c>
      <c r="AD6" s="179"/>
      <c r="AE6" s="179">
        <f t="shared" si="18"/>
        <v>0.56206185567010303</v>
      </c>
      <c r="AF6" s="563">
        <f>MAX(10, F6/(0.5*AE6/1000000*Isw_min*Nps)/1000)</f>
        <v>13.497103245882565</v>
      </c>
      <c r="AG6" s="546">
        <f t="shared" si="19"/>
        <v>2.8524639175257726E-2</v>
      </c>
      <c r="AI6" s="179">
        <f t="shared" si="20"/>
        <v>5.8428193394924145E-2</v>
      </c>
      <c r="AJ6" s="179">
        <f t="shared" si="21"/>
        <v>0.28999999999999998</v>
      </c>
      <c r="AK6" s="179">
        <f t="shared" si="22"/>
        <v>1.0077126304262185</v>
      </c>
      <c r="AM6" s="563">
        <f t="shared" si="23"/>
        <v>1.1000000000000001</v>
      </c>
      <c r="AN6" s="472">
        <f t="shared" si="24"/>
        <v>13.497103245882565</v>
      </c>
      <c r="AP6">
        <f t="shared" si="25"/>
        <v>1.1000000000000001</v>
      </c>
      <c r="AQ6" s="472">
        <f t="shared" si="26"/>
        <v>13.497103245882565</v>
      </c>
      <c r="AR6" s="472"/>
      <c r="AS6" s="6">
        <f t="shared" ref="AS6:AS69" si="51">1/AN6*1000</f>
        <v>74.089971883786305</v>
      </c>
      <c r="AT6" s="6">
        <f t="shared" si="27"/>
        <v>1.1358333333333333</v>
      </c>
      <c r="AU6" s="6">
        <f t="shared" ref="AU6:AU69" si="52">AS6-AT6</f>
        <v>72.954138550452967</v>
      </c>
      <c r="AV6" s="6">
        <f t="shared" si="28"/>
        <v>0.56206185567010303</v>
      </c>
      <c r="AW6" s="179">
        <f t="shared" ref="AW6:AW69" si="53">AT6/AS6</f>
        <v>1.5330459770114943E-2</v>
      </c>
      <c r="AX6" s="179">
        <f t="shared" si="29"/>
        <v>2.6675000000000004E-2</v>
      </c>
      <c r="AY6" s="179">
        <f t="shared" si="30"/>
        <v>0.14277708333333333</v>
      </c>
      <c r="AZ6" s="179">
        <f t="shared" ref="AZ6:AZ69" si="54">AX6/AY6</f>
        <v>0.18682970247909769</v>
      </c>
      <c r="BA6" s="472">
        <f t="shared" si="31"/>
        <v>5.205902777777778E-3</v>
      </c>
      <c r="BB6" s="6">
        <f t="shared" si="32"/>
        <v>0.28157737686139739</v>
      </c>
      <c r="BC6" s="6"/>
      <c r="BD6" s="179">
        <f t="shared" ref="BD6:BD69" si="55">AJ6*SQRT(AW6/3)</f>
        <v>2.0730747427164534E-2</v>
      </c>
      <c r="BE6" s="179">
        <f t="shared" si="33"/>
        <v>0.16614321967641185</v>
      </c>
      <c r="BF6" s="179"/>
      <c r="BG6" s="546">
        <f t="shared" si="34"/>
        <v>1.5041736111111111E-4</v>
      </c>
      <c r="BH6" s="546">
        <f t="shared" si="35"/>
        <v>1.0641622340425534E-3</v>
      </c>
      <c r="BI6" s="546">
        <f t="shared" si="36"/>
        <v>1.6871379057353206E-4</v>
      </c>
      <c r="BJ6" s="546">
        <f t="shared" si="37"/>
        <v>8.8680186170212794E-4</v>
      </c>
      <c r="BK6">
        <f t="shared" si="38"/>
        <v>3.48E-3</v>
      </c>
      <c r="BL6" s="546">
        <f t="shared" si="39"/>
        <v>5.7503949558041128E-3</v>
      </c>
      <c r="BM6" s="472">
        <f t="shared" ref="BM6:BM69" si="56">BL6*1000</f>
        <v>5.7503949558041132</v>
      </c>
      <c r="BN6" s="546">
        <f t="shared" si="40"/>
        <v>3.3E-4</v>
      </c>
      <c r="BO6" s="546"/>
      <c r="BQ6" s="472">
        <f t="shared" ref="BQ6:BQ69" si="57">SUM(BN6:BP6)*1000</f>
        <v>0.33</v>
      </c>
      <c r="BR6" s="546">
        <f t="shared" si="41"/>
        <v>8.595277777777779E-5</v>
      </c>
      <c r="BS6" s="546">
        <f t="shared" si="42"/>
        <v>5.5207138888888896E-3</v>
      </c>
      <c r="BT6" s="546">
        <f t="shared" si="43"/>
        <v>1.5155365831393684E-6</v>
      </c>
      <c r="BU6" s="546">
        <f t="shared" si="44"/>
        <v>5.6106987886798227E-3</v>
      </c>
      <c r="BV6" s="546">
        <f t="shared" si="45"/>
        <v>2.0999468085106389E-4</v>
      </c>
      <c r="BW6" s="472">
        <f t="shared" ref="BW6:BW69" si="58">1000*(BU6+BV6)</f>
        <v>5.8206934695308865</v>
      </c>
      <c r="BX6" s="179">
        <f t="shared" ref="BX6:BX69" si="59">SUM(BL6,BN6:BP6,BU6, BV6)</f>
        <v>1.1901088425335E-2</v>
      </c>
      <c r="BY6" s="6">
        <f t="shared" ref="BY6:BY69" si="60">MIN(H6,O6)</f>
        <v>2.64E-2</v>
      </c>
      <c r="BZ6" s="179">
        <f t="shared" ref="BZ6:BZ69" si="61">BY6/(BY6+BX6)</f>
        <v>0.68927545104794474</v>
      </c>
      <c r="CA6" s="6">
        <f t="shared" ref="CA6:CA69" si="62">BZ6*100</f>
        <v>68.927545104794476</v>
      </c>
      <c r="CD6" s="581">
        <f t="shared" si="46"/>
        <v>-50</v>
      </c>
      <c r="CE6">
        <f t="shared" si="47"/>
        <v>-50</v>
      </c>
    </row>
    <row r="7" spans="2:83" x14ac:dyDescent="0.2">
      <c r="E7" s="176">
        <v>2</v>
      </c>
      <c r="F7" s="223">
        <f t="shared" si="48"/>
        <v>2.2000000000000001E-3</v>
      </c>
      <c r="G7" s="223"/>
      <c r="H7" s="223">
        <f t="shared" si="0"/>
        <v>5.28E-2</v>
      </c>
      <c r="I7" s="559">
        <f t="shared" si="1"/>
        <v>12</v>
      </c>
      <c r="J7" s="178">
        <f t="shared" si="2"/>
        <v>24.25</v>
      </c>
      <c r="K7" s="454">
        <f t="shared" si="3"/>
        <v>36.25</v>
      </c>
      <c r="L7" s="454"/>
      <c r="M7" s="223">
        <f t="shared" si="4"/>
        <v>0.66896551724137931</v>
      </c>
      <c r="N7" s="178">
        <f t="shared" si="5"/>
        <v>5.528999999999999</v>
      </c>
      <c r="O7" s="178">
        <f t="shared" si="49"/>
        <v>5.28E-2</v>
      </c>
      <c r="P7" s="223">
        <f t="shared" si="6"/>
        <v>0.23037499999999997</v>
      </c>
      <c r="Q7" s="223">
        <f t="shared" si="7"/>
        <v>24</v>
      </c>
      <c r="R7" s="223">
        <f t="shared" si="8"/>
        <v>0.24250000000000002</v>
      </c>
      <c r="S7" s="178">
        <f t="shared" si="9"/>
        <v>3744.8189828715172</v>
      </c>
      <c r="T7" s="178">
        <f t="shared" si="10"/>
        <v>24</v>
      </c>
      <c r="U7" s="223">
        <f t="shared" si="11"/>
        <v>1.3846988605534455E-2</v>
      </c>
      <c r="V7" s="223">
        <f t="shared" si="12"/>
        <v>5.4234038705009945E-2</v>
      </c>
      <c r="W7" s="223">
        <f t="shared" si="13"/>
        <v>2.6837462451963688E-2</v>
      </c>
      <c r="X7" s="203">
        <f t="shared" si="14"/>
        <v>350</v>
      </c>
      <c r="Y7" s="454">
        <f t="shared" si="50"/>
        <v>350</v>
      </c>
      <c r="AA7" s="223">
        <f t="shared" si="15"/>
        <v>0.48799916151346817</v>
      </c>
      <c r="AB7" s="179">
        <f t="shared" si="16"/>
        <v>0.94581280788177335</v>
      </c>
      <c r="AC7" s="179">
        <f t="shared" si="17"/>
        <v>8.077227500912576E-2</v>
      </c>
      <c r="AD7" s="179"/>
      <c r="AE7" s="179">
        <f t="shared" si="18"/>
        <v>0.56206185567010303</v>
      </c>
      <c r="AF7" s="563">
        <f>MAX(10, F7/(0.5*AE7/1000000*Isw_min*Nps)/1000)</f>
        <v>26.99420649176513</v>
      </c>
      <c r="AG7" s="546">
        <f t="shared" si="19"/>
        <v>2.8524639175257726E-2</v>
      </c>
      <c r="AI7" s="179">
        <f t="shared" si="20"/>
        <v>8.2629943524059821E-2</v>
      </c>
      <c r="AJ7" s="179">
        <f t="shared" si="21"/>
        <v>0.28999999999999998</v>
      </c>
      <c r="AK7" s="179">
        <f t="shared" si="22"/>
        <v>1.0154252608524372</v>
      </c>
      <c r="AM7" s="563">
        <f t="shared" si="23"/>
        <v>2.2000000000000002</v>
      </c>
      <c r="AN7" s="472">
        <f t="shared" si="24"/>
        <v>26.99420649176513</v>
      </c>
      <c r="AP7">
        <f t="shared" si="25"/>
        <v>2.2000000000000002</v>
      </c>
      <c r="AQ7" s="472">
        <f t="shared" si="26"/>
        <v>26.99420649176513</v>
      </c>
      <c r="AR7" s="472"/>
      <c r="AS7" s="6">
        <f t="shared" si="51"/>
        <v>37.044985941893152</v>
      </c>
      <c r="AT7" s="6">
        <f t="shared" si="27"/>
        <v>1.1358333333333333</v>
      </c>
      <c r="AU7" s="6">
        <f t="shared" si="52"/>
        <v>35.909152608559822</v>
      </c>
      <c r="AV7" s="6">
        <f t="shared" si="28"/>
        <v>0.56206185567010303</v>
      </c>
      <c r="AW7" s="179">
        <f t="shared" si="53"/>
        <v>3.0660919540229887E-2</v>
      </c>
      <c r="AX7" s="179">
        <f t="shared" si="29"/>
        <v>5.3350000000000009E-2</v>
      </c>
      <c r="AY7" s="179">
        <f t="shared" si="30"/>
        <v>0.14055416666666665</v>
      </c>
      <c r="AZ7" s="179">
        <f t="shared" si="54"/>
        <v>0.37956896807280716</v>
      </c>
      <c r="BA7" s="472">
        <f t="shared" si="31"/>
        <v>1.0411805555555556E-2</v>
      </c>
      <c r="BB7" s="6">
        <f t="shared" si="32"/>
        <v>0.27719345873274248</v>
      </c>
      <c r="BC7" s="6"/>
      <c r="BD7" s="179">
        <f t="shared" si="55"/>
        <v>2.9317704169627225E-2</v>
      </c>
      <c r="BE7" s="179">
        <f t="shared" si="33"/>
        <v>0.16484479232161248</v>
      </c>
      <c r="BF7" s="179"/>
      <c r="BG7" s="546">
        <f t="shared" si="34"/>
        <v>3.0083472222222217E-4</v>
      </c>
      <c r="BH7" s="546">
        <f t="shared" si="35"/>
        <v>2.1283244680851067E-3</v>
      </c>
      <c r="BI7" s="546">
        <f t="shared" si="36"/>
        <v>3.3742758114706413E-4</v>
      </c>
      <c r="BJ7" s="546">
        <f t="shared" si="37"/>
        <v>1.7736037234042559E-3</v>
      </c>
      <c r="BK7">
        <f t="shared" si="38"/>
        <v>3.48E-3</v>
      </c>
      <c r="BL7" s="546">
        <f t="shared" si="39"/>
        <v>8.0210266005053214E-3</v>
      </c>
      <c r="BM7" s="472">
        <f t="shared" si="56"/>
        <v>8.021026600505321</v>
      </c>
      <c r="BN7" s="546">
        <f t="shared" si="40"/>
        <v>6.6E-4</v>
      </c>
      <c r="BO7" s="546"/>
      <c r="BQ7" s="472">
        <f t="shared" si="57"/>
        <v>0.66</v>
      </c>
      <c r="BR7" s="546">
        <f t="shared" si="41"/>
        <v>1.7190555555555553E-4</v>
      </c>
      <c r="BS7" s="546">
        <f t="shared" si="42"/>
        <v>5.4347611111111097E-3</v>
      </c>
      <c r="BT7" s="546">
        <f t="shared" si="43"/>
        <v>8.5731695605931095E-6</v>
      </c>
      <c r="BU7" s="546">
        <f t="shared" si="44"/>
        <v>5.617759588661426E-3</v>
      </c>
      <c r="BV7" s="546">
        <f t="shared" si="45"/>
        <v>4.1998936170212778E-4</v>
      </c>
      <c r="BW7" s="472">
        <f t="shared" si="58"/>
        <v>6.0377489503635537</v>
      </c>
      <c r="BX7" s="179">
        <f t="shared" si="59"/>
        <v>1.4718775550868873E-2</v>
      </c>
      <c r="BY7" s="6">
        <f t="shared" si="60"/>
        <v>5.28E-2</v>
      </c>
      <c r="BZ7" s="179">
        <f t="shared" si="61"/>
        <v>0.78200470268037225</v>
      </c>
      <c r="CA7" s="6">
        <f t="shared" si="62"/>
        <v>78.200470268037222</v>
      </c>
      <c r="CD7" s="581">
        <f t="shared" si="46"/>
        <v>-50</v>
      </c>
      <c r="CE7">
        <f t="shared" si="47"/>
        <v>-50</v>
      </c>
    </row>
    <row r="8" spans="2:83" x14ac:dyDescent="0.2">
      <c r="E8" s="176">
        <v>3</v>
      </c>
      <c r="F8" s="223">
        <f t="shared" si="48"/>
        <v>3.3E-3</v>
      </c>
      <c r="G8" s="223"/>
      <c r="H8" s="223">
        <f t="shared" si="0"/>
        <v>7.9199999999999993E-2</v>
      </c>
      <c r="I8" s="559">
        <f t="shared" si="1"/>
        <v>12</v>
      </c>
      <c r="J8" s="178">
        <f t="shared" si="2"/>
        <v>24.25</v>
      </c>
      <c r="K8" s="454">
        <f t="shared" si="3"/>
        <v>36.25</v>
      </c>
      <c r="L8" s="454"/>
      <c r="M8" s="223">
        <f t="shared" si="4"/>
        <v>0.66896551724137931</v>
      </c>
      <c r="N8" s="178">
        <f t="shared" si="5"/>
        <v>5.528999999999999</v>
      </c>
      <c r="O8" s="178">
        <f t="shared" si="49"/>
        <v>7.9199999999999993E-2</v>
      </c>
      <c r="P8" s="223">
        <f t="shared" si="6"/>
        <v>0.23037499999999997</v>
      </c>
      <c r="Q8" s="223">
        <f t="shared" si="7"/>
        <v>24</v>
      </c>
      <c r="R8" s="223">
        <f t="shared" si="8"/>
        <v>0.24250000000000002</v>
      </c>
      <c r="S8" s="178">
        <f t="shared" si="9"/>
        <v>2492.5466580130492</v>
      </c>
      <c r="T8" s="178">
        <f t="shared" si="10"/>
        <v>24</v>
      </c>
      <c r="U8" s="223">
        <f t="shared" si="11"/>
        <v>2.0770482908301684E-2</v>
      </c>
      <c r="V8" s="223">
        <f t="shared" si="12"/>
        <v>8.1351058057514927E-2</v>
      </c>
      <c r="W8" s="223">
        <f t="shared" si="13"/>
        <v>4.0256193677945529E-2</v>
      </c>
      <c r="X8" s="203">
        <f t="shared" si="14"/>
        <v>350</v>
      </c>
      <c r="Y8" s="454">
        <f t="shared" si="50"/>
        <v>350</v>
      </c>
      <c r="AA8" s="223">
        <f t="shared" si="15"/>
        <v>0.48799916151346817</v>
      </c>
      <c r="AB8" s="179">
        <f t="shared" si="16"/>
        <v>0.94581280788177335</v>
      </c>
      <c r="AC8" s="179">
        <f t="shared" si="17"/>
        <v>8.077227500912576E-2</v>
      </c>
      <c r="AD8" s="179"/>
      <c r="AE8" s="179">
        <f t="shared" si="18"/>
        <v>0.56206185567010303</v>
      </c>
      <c r="AF8" s="563">
        <f t="shared" ref="AF8:AF39" si="63">MAX(10000,F8/(0.5*AE8/1000000*Isw_min*Nps))/1000</f>
        <v>40.491309737647697</v>
      </c>
      <c r="AG8" s="546">
        <f t="shared" si="19"/>
        <v>2.8524639175257726E-2</v>
      </c>
      <c r="AI8" s="179">
        <f t="shared" si="20"/>
        <v>0.1012005995544689</v>
      </c>
      <c r="AJ8" s="179">
        <f t="shared" si="21"/>
        <v>0.28999999999999998</v>
      </c>
      <c r="AK8" s="179">
        <f t="shared" si="22"/>
        <v>1.0231378912786557</v>
      </c>
      <c r="AM8" s="563">
        <f t="shared" si="23"/>
        <v>3.3</v>
      </c>
      <c r="AN8" s="472">
        <f t="shared" si="24"/>
        <v>40.491309737647697</v>
      </c>
      <c r="AP8">
        <f t="shared" si="25"/>
        <v>3.3</v>
      </c>
      <c r="AQ8" s="472">
        <f t="shared" si="26"/>
        <v>40.491309737647697</v>
      </c>
      <c r="AR8" s="472"/>
      <c r="AS8" s="6">
        <f t="shared" si="51"/>
        <v>24.696657294595433</v>
      </c>
      <c r="AT8" s="6">
        <f t="shared" si="27"/>
        <v>1.1358333333333333</v>
      </c>
      <c r="AU8" s="6">
        <f t="shared" si="52"/>
        <v>23.560823961262098</v>
      </c>
      <c r="AV8" s="6">
        <f t="shared" si="28"/>
        <v>0.56206185567010303</v>
      </c>
      <c r="AW8" s="179">
        <f t="shared" si="53"/>
        <v>4.5991379310344839E-2</v>
      </c>
      <c r="AX8" s="179">
        <f t="shared" si="29"/>
        <v>8.0025000000000027E-2</v>
      </c>
      <c r="AY8" s="179">
        <f t="shared" si="30"/>
        <v>0.13833124999999999</v>
      </c>
      <c r="AZ8" s="179">
        <f t="shared" si="54"/>
        <v>0.5785026882934986</v>
      </c>
      <c r="BA8" s="472">
        <f t="shared" si="31"/>
        <v>1.5617708333333332E-2</v>
      </c>
      <c r="BB8" s="6">
        <f t="shared" si="32"/>
        <v>0.27280954060408746</v>
      </c>
      <c r="BC8" s="6"/>
      <c r="BD8" s="179">
        <f t="shared" si="55"/>
        <v>3.5906707822726758E-2</v>
      </c>
      <c r="BE8" s="179">
        <f t="shared" si="33"/>
        <v>0.16353605616703207</v>
      </c>
      <c r="BF8" s="179"/>
      <c r="BG8" s="546">
        <f t="shared" si="34"/>
        <v>4.5125208333333337E-4</v>
      </c>
      <c r="BH8" s="546">
        <f t="shared" si="35"/>
        <v>3.1924867021276603E-3</v>
      </c>
      <c r="BI8" s="546">
        <f t="shared" si="36"/>
        <v>5.0614137172059614E-4</v>
      </c>
      <c r="BJ8" s="546">
        <f t="shared" si="37"/>
        <v>2.6604055851063842E-3</v>
      </c>
      <c r="BK8">
        <f t="shared" si="38"/>
        <v>3.48E-3</v>
      </c>
      <c r="BL8" s="546">
        <f t="shared" si="39"/>
        <v>1.0291894971117817E-2</v>
      </c>
      <c r="BM8" s="472">
        <f t="shared" si="56"/>
        <v>10.291894971117818</v>
      </c>
      <c r="BN8" s="546">
        <f t="shared" si="40"/>
        <v>9.8999999999999999E-4</v>
      </c>
      <c r="BO8" s="546"/>
      <c r="BQ8" s="472">
        <f t="shared" si="57"/>
        <v>0.99</v>
      </c>
      <c r="BR8" s="546">
        <f t="shared" si="41"/>
        <v>2.578583333333334E-4</v>
      </c>
      <c r="BS8" s="546">
        <f t="shared" si="42"/>
        <v>5.3488083333333332E-3</v>
      </c>
      <c r="BT8" s="546">
        <f t="shared" si="43"/>
        <v>2.3624877264540514E-5</v>
      </c>
      <c r="BU8" s="546">
        <f t="shared" si="44"/>
        <v>5.6328180505874972E-3</v>
      </c>
      <c r="BV8" s="546">
        <f t="shared" si="45"/>
        <v>6.2998404255319176E-4</v>
      </c>
      <c r="BW8" s="472">
        <f t="shared" si="58"/>
        <v>6.2628020931406896</v>
      </c>
      <c r="BX8" s="179">
        <f t="shared" si="59"/>
        <v>1.7544697064258506E-2</v>
      </c>
      <c r="BY8" s="6">
        <f t="shared" si="60"/>
        <v>7.9199999999999993E-2</v>
      </c>
      <c r="BZ8" s="179">
        <f t="shared" si="61"/>
        <v>0.8186495219205121</v>
      </c>
      <c r="CA8" s="6">
        <f t="shared" si="62"/>
        <v>81.864952192051206</v>
      </c>
      <c r="CD8" s="581">
        <f t="shared" si="46"/>
        <v>-50</v>
      </c>
      <c r="CE8">
        <f t="shared" si="47"/>
        <v>-50</v>
      </c>
    </row>
    <row r="9" spans="2:83" x14ac:dyDescent="0.2">
      <c r="E9" s="176">
        <v>4</v>
      </c>
      <c r="F9" s="223">
        <f t="shared" si="48"/>
        <v>4.4000000000000003E-3</v>
      </c>
      <c r="G9" s="223"/>
      <c r="H9" s="223">
        <f t="shared" si="0"/>
        <v>0.1056</v>
      </c>
      <c r="I9" s="559">
        <f t="shared" si="1"/>
        <v>12</v>
      </c>
      <c r="J9" s="178">
        <f t="shared" si="2"/>
        <v>24.25</v>
      </c>
      <c r="K9" s="454">
        <f t="shared" si="3"/>
        <v>36.25</v>
      </c>
      <c r="L9" s="454"/>
      <c r="M9" s="223">
        <f t="shared" si="4"/>
        <v>0.66896551724137931</v>
      </c>
      <c r="N9" s="178">
        <f t="shared" si="5"/>
        <v>5.528999999999999</v>
      </c>
      <c r="O9" s="178">
        <f t="shared" si="49"/>
        <v>0.1056</v>
      </c>
      <c r="P9" s="223">
        <f t="shared" si="6"/>
        <v>0.23037499999999997</v>
      </c>
      <c r="Q9" s="223">
        <f t="shared" si="7"/>
        <v>24</v>
      </c>
      <c r="R9" s="223">
        <f t="shared" si="8"/>
        <v>0.24250000000000002</v>
      </c>
      <c r="S9" s="178">
        <f t="shared" si="9"/>
        <v>1866.4106980570868</v>
      </c>
      <c r="T9" s="178">
        <f t="shared" si="10"/>
        <v>24</v>
      </c>
      <c r="U9" s="223">
        <f t="shared" si="11"/>
        <v>2.769397721106891E-2</v>
      </c>
      <c r="V9" s="223">
        <f t="shared" si="12"/>
        <v>0.10846807741001989</v>
      </c>
      <c r="W9" s="223">
        <f t="shared" si="13"/>
        <v>5.3674924903927376E-2</v>
      </c>
      <c r="X9" s="203">
        <f t="shared" si="14"/>
        <v>350</v>
      </c>
      <c r="Y9" s="454">
        <f t="shared" si="50"/>
        <v>350</v>
      </c>
      <c r="AA9" s="223">
        <f t="shared" si="15"/>
        <v>0.48799916151346817</v>
      </c>
      <c r="AB9" s="179">
        <f t="shared" si="16"/>
        <v>0.94581280788177335</v>
      </c>
      <c r="AC9" s="179">
        <f t="shared" si="17"/>
        <v>8.077227500912576E-2</v>
      </c>
      <c r="AD9" s="179"/>
      <c r="AE9" s="179">
        <f t="shared" si="18"/>
        <v>0.56206185567010303</v>
      </c>
      <c r="AF9" s="563">
        <f t="shared" si="63"/>
        <v>53.98841298353026</v>
      </c>
      <c r="AG9" s="546">
        <f t="shared" si="19"/>
        <v>2.8524639175257726E-2</v>
      </c>
      <c r="AI9" s="179">
        <f t="shared" si="20"/>
        <v>0.11685638678984829</v>
      </c>
      <c r="AJ9" s="179">
        <f t="shared" si="21"/>
        <v>0.28999999999999998</v>
      </c>
      <c r="AK9" s="179">
        <f t="shared" si="22"/>
        <v>1.0308505217048745</v>
      </c>
      <c r="AM9" s="563">
        <f t="shared" si="23"/>
        <v>4.4000000000000004</v>
      </c>
      <c r="AN9" s="472">
        <f t="shared" si="24"/>
        <v>53.98841298353026</v>
      </c>
      <c r="AP9">
        <f t="shared" si="25"/>
        <v>4.4000000000000004</v>
      </c>
      <c r="AQ9" s="472">
        <f t="shared" si="26"/>
        <v>53.98841298353026</v>
      </c>
      <c r="AR9" s="472"/>
      <c r="AS9" s="6">
        <f t="shared" si="51"/>
        <v>18.522492970946576</v>
      </c>
      <c r="AT9" s="6">
        <f t="shared" si="27"/>
        <v>1.1358333333333333</v>
      </c>
      <c r="AU9" s="6">
        <f t="shared" si="52"/>
        <v>17.386659637613242</v>
      </c>
      <c r="AV9" s="6">
        <f t="shared" si="28"/>
        <v>0.56206185567010303</v>
      </c>
      <c r="AW9" s="179">
        <f t="shared" si="53"/>
        <v>6.1321839080459774E-2</v>
      </c>
      <c r="AX9" s="179">
        <f t="shared" si="29"/>
        <v>0.10670000000000002</v>
      </c>
      <c r="AY9" s="179">
        <f t="shared" si="30"/>
        <v>0.13610833333333333</v>
      </c>
      <c r="AZ9" s="179">
        <f t="shared" si="54"/>
        <v>0.78393436600746969</v>
      </c>
      <c r="BA9" s="472">
        <f t="shared" si="31"/>
        <v>2.0823611111111112E-2</v>
      </c>
      <c r="BB9" s="6">
        <f t="shared" si="32"/>
        <v>0.2684256224754325</v>
      </c>
      <c r="BC9" s="6"/>
      <c r="BD9" s="179">
        <f t="shared" si="55"/>
        <v>4.1461494854329067E-2</v>
      </c>
      <c r="BE9" s="179">
        <f t="shared" si="33"/>
        <v>0.16221676170414012</v>
      </c>
      <c r="BF9" s="179"/>
      <c r="BG9" s="546">
        <f t="shared" si="34"/>
        <v>6.0166944444444445E-4</v>
      </c>
      <c r="BH9" s="546">
        <f t="shared" si="35"/>
        <v>4.2566489361702134E-3</v>
      </c>
      <c r="BI9" s="546">
        <f t="shared" si="36"/>
        <v>6.7485516229412825E-4</v>
      </c>
      <c r="BJ9" s="546">
        <f t="shared" si="37"/>
        <v>3.5472074468085118E-3</v>
      </c>
      <c r="BK9">
        <f t="shared" si="38"/>
        <v>3.48E-3</v>
      </c>
      <c r="BL9" s="546">
        <f t="shared" si="39"/>
        <v>1.2563000104663505E-2</v>
      </c>
      <c r="BM9" s="472">
        <f t="shared" si="56"/>
        <v>12.563000104663505</v>
      </c>
      <c r="BN9" s="546">
        <f t="shared" si="40"/>
        <v>1.32E-3</v>
      </c>
      <c r="BO9" s="546"/>
      <c r="BQ9" s="472">
        <f t="shared" si="57"/>
        <v>1.32</v>
      </c>
      <c r="BR9" s="546">
        <f t="shared" si="41"/>
        <v>3.4381111111111116E-4</v>
      </c>
      <c r="BS9" s="546">
        <f t="shared" si="42"/>
        <v>5.2628555555555567E-3</v>
      </c>
      <c r="BT9" s="546">
        <f t="shared" si="43"/>
        <v>4.8497170660459824E-5</v>
      </c>
      <c r="BU9" s="546">
        <f t="shared" si="44"/>
        <v>5.6577015050421888E-3</v>
      </c>
      <c r="BV9" s="546">
        <f t="shared" si="45"/>
        <v>8.3997872340425557E-4</v>
      </c>
      <c r="BW9" s="472">
        <f t="shared" si="58"/>
        <v>6.4976802284464448</v>
      </c>
      <c r="BX9" s="179">
        <f t="shared" si="59"/>
        <v>2.0380680333109948E-2</v>
      </c>
      <c r="BY9" s="6">
        <f t="shared" si="60"/>
        <v>0.1056</v>
      </c>
      <c r="BZ9" s="179">
        <f t="shared" si="61"/>
        <v>0.83822376352294126</v>
      </c>
      <c r="CA9" s="6">
        <f t="shared" si="62"/>
        <v>83.822376352294128</v>
      </c>
      <c r="CD9" s="581">
        <f t="shared" si="46"/>
        <v>-50</v>
      </c>
      <c r="CE9">
        <f t="shared" si="47"/>
        <v>-50</v>
      </c>
    </row>
    <row r="10" spans="2:83" x14ac:dyDescent="0.2">
      <c r="E10" s="176">
        <v>5</v>
      </c>
      <c r="F10" s="223">
        <f t="shared" si="48"/>
        <v>5.5000000000000005E-3</v>
      </c>
      <c r="G10" s="223"/>
      <c r="H10" s="223">
        <f t="shared" si="0"/>
        <v>0.13200000000000001</v>
      </c>
      <c r="I10" s="559">
        <f t="shared" si="1"/>
        <v>12</v>
      </c>
      <c r="J10" s="178">
        <f t="shared" si="2"/>
        <v>24.25</v>
      </c>
      <c r="K10" s="454">
        <f t="shared" si="3"/>
        <v>36.25</v>
      </c>
      <c r="L10" s="454"/>
      <c r="M10" s="223">
        <f t="shared" si="4"/>
        <v>0.66896551724137931</v>
      </c>
      <c r="N10" s="178">
        <f t="shared" si="5"/>
        <v>5.528999999999999</v>
      </c>
      <c r="O10" s="178">
        <f t="shared" si="49"/>
        <v>0.13200000000000001</v>
      </c>
      <c r="P10" s="223">
        <f t="shared" si="6"/>
        <v>0.23037499999999997</v>
      </c>
      <c r="Q10" s="223">
        <f t="shared" si="7"/>
        <v>24</v>
      </c>
      <c r="R10" s="223">
        <f t="shared" si="8"/>
        <v>0.24250000000000002</v>
      </c>
      <c r="S10" s="178">
        <f t="shared" si="9"/>
        <v>1490.7292848276618</v>
      </c>
      <c r="T10" s="178">
        <f t="shared" si="10"/>
        <v>24</v>
      </c>
      <c r="U10" s="223">
        <f t="shared" si="11"/>
        <v>3.4617471513836144E-2</v>
      </c>
      <c r="V10" s="223">
        <f t="shared" si="12"/>
        <v>0.13558509676252486</v>
      </c>
      <c r="W10" s="223">
        <f t="shared" si="13"/>
        <v>6.7093656129909224E-2</v>
      </c>
      <c r="X10" s="203">
        <f t="shared" si="14"/>
        <v>350</v>
      </c>
      <c r="Y10" s="454">
        <f t="shared" si="50"/>
        <v>350</v>
      </c>
      <c r="AA10" s="223">
        <f t="shared" si="15"/>
        <v>0.48799916151346817</v>
      </c>
      <c r="AB10" s="179">
        <f t="shared" si="16"/>
        <v>0.94581280788177335</v>
      </c>
      <c r="AC10" s="179">
        <f t="shared" si="17"/>
        <v>8.077227500912576E-2</v>
      </c>
      <c r="AD10" s="179"/>
      <c r="AE10" s="179">
        <f t="shared" si="18"/>
        <v>0.56206185567010303</v>
      </c>
      <c r="AF10" s="563">
        <f t="shared" si="63"/>
        <v>67.485516229412823</v>
      </c>
      <c r="AG10" s="546">
        <f t="shared" si="19"/>
        <v>2.8524639175257726E-2</v>
      </c>
      <c r="AI10" s="179">
        <f t="shared" si="20"/>
        <v>0.13064941223355461</v>
      </c>
      <c r="AJ10" s="179">
        <f t="shared" si="21"/>
        <v>0.28999999999999998</v>
      </c>
      <c r="AK10" s="179">
        <f t="shared" si="22"/>
        <v>1.038563152131093</v>
      </c>
      <c r="AM10" s="563">
        <f t="shared" si="23"/>
        <v>5.5000000000000009</v>
      </c>
      <c r="AN10" s="472">
        <f t="shared" si="24"/>
        <v>67.485516229412823</v>
      </c>
      <c r="AP10">
        <f t="shared" si="25"/>
        <v>5.5000000000000009</v>
      </c>
      <c r="AQ10" s="472">
        <f t="shared" si="26"/>
        <v>67.485516229412823</v>
      </c>
      <c r="AR10" s="472"/>
      <c r="AS10" s="6">
        <f t="shared" si="51"/>
        <v>14.817994376757261</v>
      </c>
      <c r="AT10" s="6">
        <f t="shared" si="27"/>
        <v>1.1358333333333333</v>
      </c>
      <c r="AU10" s="6">
        <f t="shared" si="52"/>
        <v>13.682161043423928</v>
      </c>
      <c r="AV10" s="6">
        <f t="shared" si="28"/>
        <v>0.56206185567010303</v>
      </c>
      <c r="AW10" s="179">
        <f t="shared" si="53"/>
        <v>7.6652298850574715E-2</v>
      </c>
      <c r="AX10" s="179">
        <f t="shared" si="29"/>
        <v>0.13337499999999999</v>
      </c>
      <c r="AY10" s="179">
        <f t="shared" si="30"/>
        <v>0.13388541666666667</v>
      </c>
      <c r="AZ10" s="179">
        <f t="shared" si="54"/>
        <v>0.99618766046837304</v>
      </c>
      <c r="BA10" s="472">
        <f t="shared" si="31"/>
        <v>2.602951388888889E-2</v>
      </c>
      <c r="BB10" s="6">
        <f t="shared" si="32"/>
        <v>0.26404170434677759</v>
      </c>
      <c r="BC10" s="6"/>
      <c r="BD10" s="179">
        <f t="shared" si="55"/>
        <v>4.635536047151876E-2</v>
      </c>
      <c r="BE10" s="179">
        <f t="shared" si="33"/>
        <v>0.16088664919404869</v>
      </c>
      <c r="BF10" s="179"/>
      <c r="BG10" s="546">
        <f t="shared" si="34"/>
        <v>7.5208680555555543E-4</v>
      </c>
      <c r="BH10" s="546">
        <f t="shared" si="35"/>
        <v>5.3208111702127666E-3</v>
      </c>
      <c r="BI10" s="546">
        <f t="shared" si="36"/>
        <v>8.4356895286766026E-4</v>
      </c>
      <c r="BJ10" s="546">
        <f t="shared" si="37"/>
        <v>4.4340093085106398E-3</v>
      </c>
      <c r="BK10">
        <f t="shared" si="38"/>
        <v>3.48E-3</v>
      </c>
      <c r="BL10" s="546">
        <f t="shared" si="39"/>
        <v>1.4834342038172018E-2</v>
      </c>
      <c r="BM10" s="472">
        <f t="shared" si="56"/>
        <v>14.834342038172018</v>
      </c>
      <c r="BN10" s="546">
        <f t="shared" si="40"/>
        <v>1.6500000000000002E-3</v>
      </c>
      <c r="BO10" s="546"/>
      <c r="BQ10" s="472">
        <f t="shared" si="57"/>
        <v>1.6500000000000001</v>
      </c>
      <c r="BR10" s="546">
        <f t="shared" si="41"/>
        <v>4.2976388888888882E-4</v>
      </c>
      <c r="BS10" s="546">
        <f t="shared" si="42"/>
        <v>5.1769027777777777E-3</v>
      </c>
      <c r="BT10" s="546">
        <f t="shared" si="43"/>
        <v>8.4721070557184746E-5</v>
      </c>
      <c r="BU10" s="546">
        <f t="shared" si="44"/>
        <v>5.6939416598563511E-3</v>
      </c>
      <c r="BV10" s="546">
        <f t="shared" si="45"/>
        <v>1.0499734042553194E-3</v>
      </c>
      <c r="BW10" s="472">
        <f t="shared" si="58"/>
        <v>6.7439150641116701</v>
      </c>
      <c r="BX10" s="179">
        <f t="shared" si="59"/>
        <v>2.3228257102283687E-2</v>
      </c>
      <c r="BY10" s="6">
        <f t="shared" si="60"/>
        <v>0.13200000000000001</v>
      </c>
      <c r="BZ10" s="179">
        <f t="shared" si="61"/>
        <v>0.85036063964193054</v>
      </c>
      <c r="CA10" s="6">
        <f t="shared" si="62"/>
        <v>85.036063964193048</v>
      </c>
      <c r="CD10" s="581">
        <f t="shared" si="46"/>
        <v>-50</v>
      </c>
      <c r="CE10">
        <f t="shared" si="47"/>
        <v>-50</v>
      </c>
    </row>
    <row r="11" spans="2:83" x14ac:dyDescent="0.2">
      <c r="E11" s="176">
        <v>6</v>
      </c>
      <c r="F11" s="223">
        <f t="shared" si="48"/>
        <v>6.6E-3</v>
      </c>
      <c r="G11" s="223"/>
      <c r="H11" s="223">
        <f t="shared" si="0"/>
        <v>0.15839999999999999</v>
      </c>
      <c r="I11" s="559">
        <f t="shared" si="1"/>
        <v>12</v>
      </c>
      <c r="J11" s="178">
        <f t="shared" si="2"/>
        <v>24.25</v>
      </c>
      <c r="K11" s="454">
        <f t="shared" si="3"/>
        <v>36.25</v>
      </c>
      <c r="L11" s="454"/>
      <c r="M11" s="223">
        <f t="shared" si="4"/>
        <v>0.66896551724137931</v>
      </c>
      <c r="N11" s="178">
        <f t="shared" si="5"/>
        <v>5.528999999999999</v>
      </c>
      <c r="O11" s="178">
        <f t="shared" si="49"/>
        <v>0.15839999999999999</v>
      </c>
      <c r="P11" s="223">
        <f t="shared" si="6"/>
        <v>0.23037499999999997</v>
      </c>
      <c r="Q11" s="223">
        <f t="shared" si="7"/>
        <v>24</v>
      </c>
      <c r="R11" s="223">
        <f t="shared" si="8"/>
        <v>0.24250000000000002</v>
      </c>
      <c r="S11" s="178">
        <f t="shared" si="9"/>
        <v>1240.2751456033918</v>
      </c>
      <c r="T11" s="178">
        <f t="shared" si="10"/>
        <v>24</v>
      </c>
      <c r="U11" s="223">
        <f t="shared" si="11"/>
        <v>4.1540965816603367E-2</v>
      </c>
      <c r="V11" s="223">
        <f t="shared" si="12"/>
        <v>0.16270211611502985</v>
      </c>
      <c r="W11" s="223">
        <f t="shared" si="13"/>
        <v>8.0512387355891057E-2</v>
      </c>
      <c r="X11" s="203">
        <f t="shared" si="14"/>
        <v>350</v>
      </c>
      <c r="Y11" s="454">
        <f t="shared" si="50"/>
        <v>350</v>
      </c>
      <c r="AA11" s="223">
        <f t="shared" si="15"/>
        <v>0.48799916151346817</v>
      </c>
      <c r="AB11" s="179">
        <f t="shared" si="16"/>
        <v>0.94581280788177335</v>
      </c>
      <c r="AC11" s="179">
        <f t="shared" si="17"/>
        <v>8.077227500912576E-2</v>
      </c>
      <c r="AD11" s="179"/>
      <c r="AE11" s="179">
        <f t="shared" si="18"/>
        <v>0.56206185567010303</v>
      </c>
      <c r="AF11" s="563">
        <f t="shared" si="63"/>
        <v>80.982619475295394</v>
      </c>
      <c r="AG11" s="546">
        <f t="shared" si="19"/>
        <v>2.8524639175257726E-2</v>
      </c>
      <c r="AI11" s="179">
        <f t="shared" si="20"/>
        <v>0.14311926041021852</v>
      </c>
      <c r="AJ11" s="179">
        <f t="shared" si="21"/>
        <v>0.28999999999999998</v>
      </c>
      <c r="AK11" s="179">
        <f t="shared" si="22"/>
        <v>1.0462757825573117</v>
      </c>
      <c r="AM11" s="563">
        <f t="shared" si="23"/>
        <v>6.6</v>
      </c>
      <c r="AN11" s="472">
        <f t="shared" si="24"/>
        <v>80.982619475295394</v>
      </c>
      <c r="AP11">
        <f t="shared" si="25"/>
        <v>6.6</v>
      </c>
      <c r="AQ11" s="472">
        <f t="shared" si="26"/>
        <v>80.982619475295394</v>
      </c>
      <c r="AR11" s="472"/>
      <c r="AS11" s="6">
        <f t="shared" si="51"/>
        <v>12.348328647297716</v>
      </c>
      <c r="AT11" s="6">
        <f t="shared" si="27"/>
        <v>1.1358333333333333</v>
      </c>
      <c r="AU11" s="6">
        <f t="shared" si="52"/>
        <v>11.212495313964382</v>
      </c>
      <c r="AV11" s="6">
        <f t="shared" si="28"/>
        <v>0.56206185567010303</v>
      </c>
      <c r="AW11" s="179">
        <f t="shared" si="53"/>
        <v>9.1982758620689678E-2</v>
      </c>
      <c r="AX11" s="179">
        <f t="shared" si="29"/>
        <v>0.16005000000000005</v>
      </c>
      <c r="AY11" s="179">
        <f t="shared" si="30"/>
        <v>0.13166249999999999</v>
      </c>
      <c r="AZ11" s="179">
        <f t="shared" si="54"/>
        <v>1.2156080888635721</v>
      </c>
      <c r="BA11" s="472">
        <f t="shared" si="31"/>
        <v>3.1235416666666665E-2</v>
      </c>
      <c r="BB11" s="6">
        <f t="shared" si="32"/>
        <v>0.25965778621812252</v>
      </c>
      <c r="BC11" s="6"/>
      <c r="BD11" s="179">
        <f t="shared" si="55"/>
        <v>5.077975318306828E-2</v>
      </c>
      <c r="BE11" s="179">
        <f t="shared" si="33"/>
        <v>0.15954544807044793</v>
      </c>
      <c r="BF11" s="179"/>
      <c r="BG11" s="546">
        <f t="shared" si="34"/>
        <v>9.0250416666666641E-4</v>
      </c>
      <c r="BH11" s="546">
        <f t="shared" si="35"/>
        <v>6.3849734042553206E-3</v>
      </c>
      <c r="BI11" s="546">
        <f t="shared" si="36"/>
        <v>1.0122827434411923E-3</v>
      </c>
      <c r="BJ11" s="546">
        <f t="shared" si="37"/>
        <v>5.3208111702127683E-3</v>
      </c>
      <c r="BK11">
        <f t="shared" si="38"/>
        <v>3.48E-3</v>
      </c>
      <c r="BL11" s="546">
        <f t="shared" si="39"/>
        <v>1.7105920808680706E-2</v>
      </c>
      <c r="BM11" s="472">
        <f t="shared" si="56"/>
        <v>17.105920808680708</v>
      </c>
      <c r="BN11" s="546">
        <f t="shared" si="40"/>
        <v>1.98E-3</v>
      </c>
      <c r="BO11" s="546"/>
      <c r="BQ11" s="472">
        <f t="shared" si="57"/>
        <v>1.98</v>
      </c>
      <c r="BR11" s="546">
        <f t="shared" si="41"/>
        <v>5.1571666666666658E-4</v>
      </c>
      <c r="BS11" s="546">
        <f t="shared" si="42"/>
        <v>5.0909500000000003E-3</v>
      </c>
      <c r="BT11" s="546">
        <f t="shared" si="43"/>
        <v>1.3364248734765182E-4</v>
      </c>
      <c r="BU11" s="546">
        <f t="shared" si="44"/>
        <v>5.7428850293794959E-3</v>
      </c>
      <c r="BV11" s="546">
        <f t="shared" si="45"/>
        <v>1.2599680851063835E-3</v>
      </c>
      <c r="BW11" s="472">
        <f t="shared" si="58"/>
        <v>7.0028531144858785</v>
      </c>
      <c r="BX11" s="179">
        <f t="shared" si="59"/>
        <v>2.6088773923166584E-2</v>
      </c>
      <c r="BY11" s="6">
        <f t="shared" si="60"/>
        <v>0.15839999999999999</v>
      </c>
      <c r="BZ11" s="179">
        <f t="shared" si="61"/>
        <v>0.85858882701431094</v>
      </c>
      <c r="CA11" s="6">
        <f t="shared" si="62"/>
        <v>85.858882701431099</v>
      </c>
      <c r="CD11" s="581">
        <f t="shared" si="46"/>
        <v>-50</v>
      </c>
      <c r="CE11">
        <f t="shared" si="47"/>
        <v>-50</v>
      </c>
    </row>
    <row r="12" spans="2:83" x14ac:dyDescent="0.2">
      <c r="E12" s="176">
        <v>7</v>
      </c>
      <c r="F12" s="223">
        <f t="shared" si="48"/>
        <v>7.7000000000000011E-3</v>
      </c>
      <c r="G12" s="223"/>
      <c r="H12" s="223">
        <f t="shared" si="0"/>
        <v>0.18480000000000002</v>
      </c>
      <c r="I12" s="559">
        <f t="shared" si="1"/>
        <v>12</v>
      </c>
      <c r="J12" s="178">
        <f t="shared" si="2"/>
        <v>24.25</v>
      </c>
      <c r="K12" s="454">
        <f t="shared" si="3"/>
        <v>36.25</v>
      </c>
      <c r="L12" s="454"/>
      <c r="M12" s="223">
        <f t="shared" si="4"/>
        <v>0.66896551724137931</v>
      </c>
      <c r="N12" s="178">
        <f t="shared" si="5"/>
        <v>5.528999999999999</v>
      </c>
      <c r="O12" s="178">
        <f t="shared" si="49"/>
        <v>0.18480000000000002</v>
      </c>
      <c r="P12" s="223">
        <f t="shared" si="6"/>
        <v>0.23037499999999997</v>
      </c>
      <c r="Q12" s="223">
        <f t="shared" si="7"/>
        <v>24</v>
      </c>
      <c r="R12" s="223">
        <f t="shared" si="8"/>
        <v>0.24250000000000002</v>
      </c>
      <c r="S12" s="178">
        <f t="shared" si="9"/>
        <v>1061.3794492213678</v>
      </c>
      <c r="T12" s="178">
        <f t="shared" si="10"/>
        <v>24</v>
      </c>
      <c r="U12" s="223">
        <f t="shared" si="11"/>
        <v>4.8464460119370605E-2</v>
      </c>
      <c r="V12" s="223">
        <f t="shared" si="12"/>
        <v>0.18981913546753487</v>
      </c>
      <c r="W12" s="223">
        <f t="shared" si="13"/>
        <v>9.3931118581872919E-2</v>
      </c>
      <c r="X12" s="203">
        <f t="shared" si="14"/>
        <v>350</v>
      </c>
      <c r="Y12" s="454">
        <f t="shared" si="50"/>
        <v>350</v>
      </c>
      <c r="AA12" s="223">
        <f t="shared" si="15"/>
        <v>0.48799916151346817</v>
      </c>
      <c r="AB12" s="179">
        <f t="shared" si="16"/>
        <v>0.94581280788177335</v>
      </c>
      <c r="AC12" s="179">
        <f t="shared" si="17"/>
        <v>8.077227500912576E-2</v>
      </c>
      <c r="AD12" s="179"/>
      <c r="AE12" s="179">
        <f t="shared" si="18"/>
        <v>0.56206185567010303</v>
      </c>
      <c r="AF12" s="563">
        <f t="shared" si="63"/>
        <v>94.479722721177964</v>
      </c>
      <c r="AG12" s="546">
        <f t="shared" si="19"/>
        <v>2.8524639175257726E-2</v>
      </c>
      <c r="AI12" s="179">
        <f t="shared" si="20"/>
        <v>0.15458646927775602</v>
      </c>
      <c r="AJ12" s="179">
        <f t="shared" si="21"/>
        <v>0.28999999999999998</v>
      </c>
      <c r="AK12" s="179">
        <f t="shared" si="22"/>
        <v>1.0539884129835302</v>
      </c>
      <c r="AM12" s="563">
        <f t="shared" si="23"/>
        <v>7.7000000000000011</v>
      </c>
      <c r="AN12" s="472">
        <f t="shared" si="24"/>
        <v>94.479722721177964</v>
      </c>
      <c r="AP12">
        <f t="shared" si="25"/>
        <v>7.7000000000000011</v>
      </c>
      <c r="AQ12" s="472">
        <f t="shared" si="26"/>
        <v>94.479722721177964</v>
      </c>
      <c r="AR12" s="472"/>
      <c r="AS12" s="6">
        <f t="shared" si="51"/>
        <v>10.584281697683755</v>
      </c>
      <c r="AT12" s="6">
        <f t="shared" si="27"/>
        <v>1.1358333333333333</v>
      </c>
      <c r="AU12" s="6">
        <f t="shared" si="52"/>
        <v>9.4484483643504227</v>
      </c>
      <c r="AV12" s="6">
        <f t="shared" si="28"/>
        <v>0.56206185567010303</v>
      </c>
      <c r="AW12" s="179">
        <f t="shared" si="53"/>
        <v>0.10731321839080464</v>
      </c>
      <c r="AX12" s="179">
        <f t="shared" si="29"/>
        <v>0.18672500000000006</v>
      </c>
      <c r="AY12" s="179">
        <f t="shared" si="30"/>
        <v>0.1294395833333333</v>
      </c>
      <c r="AZ12" s="179">
        <f t="shared" si="54"/>
        <v>1.4425649031884253</v>
      </c>
      <c r="BA12" s="472">
        <f t="shared" si="31"/>
        <v>3.6441319444444446E-2</v>
      </c>
      <c r="BB12" s="6">
        <f t="shared" si="32"/>
        <v>0.25527386808946756</v>
      </c>
      <c r="BC12" s="6"/>
      <c r="BD12" s="179">
        <f t="shared" si="55"/>
        <v>5.4848402184769461E-2</v>
      </c>
      <c r="BE12" s="179">
        <f t="shared" si="33"/>
        <v>0.1581928762969784</v>
      </c>
      <c r="BF12" s="179"/>
      <c r="BG12" s="546">
        <f t="shared" si="34"/>
        <v>1.0529215277777781E-3</v>
      </c>
      <c r="BH12" s="546">
        <f t="shared" si="35"/>
        <v>7.4491356382978737E-3</v>
      </c>
      <c r="BI12" s="546">
        <f t="shared" si="36"/>
        <v>1.1809965340147245E-3</v>
      </c>
      <c r="BJ12" s="546">
        <f t="shared" si="37"/>
        <v>6.2076130319148968E-3</v>
      </c>
      <c r="BK12">
        <f t="shared" si="38"/>
        <v>3.48E-3</v>
      </c>
      <c r="BL12" s="546">
        <f t="shared" si="39"/>
        <v>1.9377736453234651E-2</v>
      </c>
      <c r="BM12" s="472">
        <f t="shared" si="56"/>
        <v>19.37773645323465</v>
      </c>
      <c r="BN12" s="546">
        <f t="shared" si="40"/>
        <v>2.3100000000000004E-3</v>
      </c>
      <c r="BO12" s="546"/>
      <c r="BQ12" s="472">
        <f t="shared" si="57"/>
        <v>2.3100000000000005</v>
      </c>
      <c r="BR12" s="546">
        <f t="shared" si="41"/>
        <v>6.0166944444444478E-4</v>
      </c>
      <c r="BS12" s="546">
        <f t="shared" si="42"/>
        <v>5.0049972222222221E-3</v>
      </c>
      <c r="BT12" s="546">
        <f t="shared" si="43"/>
        <v>1.9647691218855964E-4</v>
      </c>
      <c r="BU12" s="546">
        <f t="shared" si="44"/>
        <v>5.8057476502012635E-3</v>
      </c>
      <c r="BV12" s="546">
        <f t="shared" si="45"/>
        <v>1.4699627659574474E-3</v>
      </c>
      <c r="BW12" s="472">
        <f t="shared" si="58"/>
        <v>7.2757104161587112</v>
      </c>
      <c r="BX12" s="179">
        <f t="shared" si="59"/>
        <v>2.8963446869393363E-2</v>
      </c>
      <c r="BY12" s="6">
        <f t="shared" si="60"/>
        <v>0.18480000000000002</v>
      </c>
      <c r="BZ12" s="179">
        <f t="shared" si="61"/>
        <v>0.86450701795106422</v>
      </c>
      <c r="CA12" s="6">
        <f t="shared" si="62"/>
        <v>86.450701795106426</v>
      </c>
      <c r="CD12" s="581">
        <f t="shared" si="46"/>
        <v>-50</v>
      </c>
      <c r="CE12">
        <f t="shared" si="47"/>
        <v>-50</v>
      </c>
    </row>
    <row r="13" spans="2:83" s="78" customFormat="1" x14ac:dyDescent="0.2">
      <c r="E13" s="195">
        <v>8</v>
      </c>
      <c r="F13" s="223">
        <f t="shared" si="48"/>
        <v>8.8000000000000005E-3</v>
      </c>
      <c r="G13" s="223"/>
      <c r="H13" s="223">
        <f t="shared" si="0"/>
        <v>0.2112</v>
      </c>
      <c r="I13" s="559">
        <f t="shared" si="1"/>
        <v>12</v>
      </c>
      <c r="J13" s="178">
        <f t="shared" si="2"/>
        <v>24.25</v>
      </c>
      <c r="K13" s="553">
        <f t="shared" si="3"/>
        <v>36.25</v>
      </c>
      <c r="L13" s="553"/>
      <c r="M13" s="335">
        <f t="shared" si="4"/>
        <v>0.66896551724137931</v>
      </c>
      <c r="N13" s="178">
        <f t="shared" si="5"/>
        <v>5.528999999999999</v>
      </c>
      <c r="O13" s="178">
        <f t="shared" si="49"/>
        <v>0.2112</v>
      </c>
      <c r="P13" s="335">
        <f t="shared" si="6"/>
        <v>0.23037499999999997</v>
      </c>
      <c r="Q13" s="223">
        <f t="shared" si="7"/>
        <v>24</v>
      </c>
      <c r="R13" s="223">
        <f t="shared" si="8"/>
        <v>0.24250000000000002</v>
      </c>
      <c r="S13" s="178">
        <f t="shared" si="9"/>
        <v>927.20778010313461</v>
      </c>
      <c r="T13" s="178">
        <f t="shared" si="10"/>
        <v>24</v>
      </c>
      <c r="U13" s="223">
        <f t="shared" si="11"/>
        <v>5.5387954422137821E-2</v>
      </c>
      <c r="V13" s="335">
        <f t="shared" si="12"/>
        <v>0.21693615482003978</v>
      </c>
      <c r="W13" s="223">
        <f t="shared" si="13"/>
        <v>0.10734984980785475</v>
      </c>
      <c r="X13" s="555">
        <f t="shared" si="14"/>
        <v>350</v>
      </c>
      <c r="Y13" s="553">
        <f t="shared" si="50"/>
        <v>350</v>
      </c>
      <c r="AA13" s="335">
        <f t="shared" si="15"/>
        <v>0.48799916151346817</v>
      </c>
      <c r="AB13" s="179">
        <f t="shared" si="16"/>
        <v>0.94581280788177335</v>
      </c>
      <c r="AC13" s="556">
        <f t="shared" si="17"/>
        <v>8.077227500912576E-2</v>
      </c>
      <c r="AD13" s="556"/>
      <c r="AE13" s="179">
        <f t="shared" si="18"/>
        <v>0.56206185567010303</v>
      </c>
      <c r="AF13" s="563">
        <f t="shared" si="63"/>
        <v>107.97682596706052</v>
      </c>
      <c r="AG13" s="546">
        <f t="shared" si="19"/>
        <v>2.8524639175257726E-2</v>
      </c>
      <c r="AH13"/>
      <c r="AI13" s="179">
        <f t="shared" si="20"/>
        <v>0.16525988704811964</v>
      </c>
      <c r="AJ13" s="179">
        <f t="shared" si="21"/>
        <v>0.28999999999999998</v>
      </c>
      <c r="AK13" s="179">
        <f t="shared" si="22"/>
        <v>1.0617010434097489</v>
      </c>
      <c r="AM13" s="563">
        <f t="shared" si="23"/>
        <v>8.8000000000000007</v>
      </c>
      <c r="AN13" s="472">
        <f t="shared" si="24"/>
        <v>107.97682596706052</v>
      </c>
      <c r="AP13">
        <f t="shared" si="25"/>
        <v>8.8000000000000007</v>
      </c>
      <c r="AQ13" s="472">
        <f t="shared" si="26"/>
        <v>107.97682596706052</v>
      </c>
      <c r="AR13" s="472"/>
      <c r="AS13" s="6">
        <f t="shared" si="51"/>
        <v>9.2612464854732881</v>
      </c>
      <c r="AT13" s="6">
        <f t="shared" si="27"/>
        <v>1.1358333333333333</v>
      </c>
      <c r="AU13" s="6">
        <f t="shared" si="52"/>
        <v>8.1254131521399557</v>
      </c>
      <c r="AV13" s="6">
        <f t="shared" si="28"/>
        <v>0.56206185567010303</v>
      </c>
      <c r="AW13" s="179">
        <f t="shared" si="53"/>
        <v>0.12264367816091955</v>
      </c>
      <c r="AX13" s="179">
        <f t="shared" si="29"/>
        <v>0.21340000000000003</v>
      </c>
      <c r="AY13" s="179">
        <f t="shared" si="30"/>
        <v>0.12721666666666664</v>
      </c>
      <c r="AZ13" s="179">
        <f t="shared" si="54"/>
        <v>1.6774531638936203</v>
      </c>
      <c r="BA13" s="472">
        <f t="shared" si="31"/>
        <v>4.1647222222222224E-2</v>
      </c>
      <c r="BB13" s="6">
        <f t="shared" si="32"/>
        <v>0.25088994996081265</v>
      </c>
      <c r="BC13" s="6"/>
      <c r="BD13" s="179">
        <f t="shared" si="55"/>
        <v>5.8635408339254451E-2</v>
      </c>
      <c r="BE13" s="179">
        <f t="shared" si="33"/>
        <v>0.156828639674717</v>
      </c>
      <c r="BF13" s="179"/>
      <c r="BG13" s="546">
        <f t="shared" si="34"/>
        <v>1.2033388888888887E-3</v>
      </c>
      <c r="BH13" s="546">
        <f t="shared" si="35"/>
        <v>8.5132978723404269E-3</v>
      </c>
      <c r="BI13" s="546">
        <f t="shared" si="36"/>
        <v>1.3497103245882565E-3</v>
      </c>
      <c r="BJ13" s="546">
        <f t="shared" si="37"/>
        <v>7.0944148936170235E-3</v>
      </c>
      <c r="BK13">
        <f t="shared" si="38"/>
        <v>3.48E-3</v>
      </c>
      <c r="BL13" s="546">
        <f t="shared" si="39"/>
        <v>2.1649789008886637E-2</v>
      </c>
      <c r="BM13" s="472">
        <f t="shared" si="56"/>
        <v>21.649789008886636</v>
      </c>
      <c r="BN13" s="546">
        <f t="shared" si="40"/>
        <v>2.64E-3</v>
      </c>
      <c r="BO13" s="546"/>
      <c r="BQ13" s="472">
        <f t="shared" si="57"/>
        <v>2.64</v>
      </c>
      <c r="BR13" s="546">
        <f t="shared" si="41"/>
        <v>6.8762222222222211E-4</v>
      </c>
      <c r="BS13" s="546">
        <f t="shared" si="42"/>
        <v>4.9190444444444439E-3</v>
      </c>
      <c r="BT13" s="546">
        <f t="shared" si="43"/>
        <v>2.7434142593897912E-4</v>
      </c>
      <c r="BU13" s="546">
        <f t="shared" si="44"/>
        <v>5.8836471044535626E-3</v>
      </c>
      <c r="BV13" s="546">
        <f t="shared" si="45"/>
        <v>1.6799574468085111E-3</v>
      </c>
      <c r="BW13" s="472">
        <f t="shared" si="58"/>
        <v>7.563604551262074</v>
      </c>
      <c r="BX13" s="179">
        <f t="shared" si="59"/>
        <v>3.1853393560148713E-2</v>
      </c>
      <c r="BY13" s="6">
        <f t="shared" si="60"/>
        <v>0.2112</v>
      </c>
      <c r="BZ13" s="179">
        <f t="shared" si="61"/>
        <v>0.86894487217984095</v>
      </c>
      <c r="CA13" s="6">
        <f t="shared" si="62"/>
        <v>86.894487217984093</v>
      </c>
      <c r="CD13" s="581">
        <f t="shared" si="46"/>
        <v>-50</v>
      </c>
      <c r="CE13">
        <f t="shared" si="47"/>
        <v>-50</v>
      </c>
    </row>
    <row r="14" spans="2:83" x14ac:dyDescent="0.2">
      <c r="E14" s="176">
        <v>9</v>
      </c>
      <c r="F14" s="223">
        <f t="shared" si="48"/>
        <v>9.8999999999999991E-3</v>
      </c>
      <c r="G14" s="223"/>
      <c r="H14" s="223">
        <f t="shared" si="0"/>
        <v>0.23759999999999998</v>
      </c>
      <c r="I14" s="559">
        <f t="shared" si="1"/>
        <v>12</v>
      </c>
      <c r="J14" s="178">
        <f t="shared" si="2"/>
        <v>24.25</v>
      </c>
      <c r="K14" s="454">
        <f t="shared" si="3"/>
        <v>36.25</v>
      </c>
      <c r="L14" s="454"/>
      <c r="M14" s="223">
        <f t="shared" si="4"/>
        <v>0.66896551724137931</v>
      </c>
      <c r="N14" s="178">
        <f t="shared" si="5"/>
        <v>5.528999999999999</v>
      </c>
      <c r="O14" s="178">
        <f t="shared" si="49"/>
        <v>0.23759999999999998</v>
      </c>
      <c r="P14" s="223">
        <f t="shared" si="6"/>
        <v>0.23037499999999997</v>
      </c>
      <c r="Q14" s="223">
        <f t="shared" si="7"/>
        <v>24</v>
      </c>
      <c r="R14" s="223">
        <f t="shared" si="8"/>
        <v>0.24250000000000002</v>
      </c>
      <c r="S14" s="178">
        <f t="shared" si="9"/>
        <v>822.85212959667842</v>
      </c>
      <c r="T14" s="178">
        <f t="shared" si="10"/>
        <v>24</v>
      </c>
      <c r="U14" s="223">
        <f t="shared" si="11"/>
        <v>6.2311448724905044E-2</v>
      </c>
      <c r="V14" s="223">
        <f t="shared" si="12"/>
        <v>0.24405317417254474</v>
      </c>
      <c r="W14" s="223">
        <f t="shared" si="13"/>
        <v>0.12076858103383656</v>
      </c>
      <c r="X14" s="203">
        <f t="shared" si="14"/>
        <v>350</v>
      </c>
      <c r="Y14" s="454">
        <f t="shared" si="50"/>
        <v>350</v>
      </c>
      <c r="AA14" s="223">
        <f t="shared" si="15"/>
        <v>0.48799916151346817</v>
      </c>
      <c r="AB14" s="179">
        <f t="shared" si="16"/>
        <v>0.94581280788177335</v>
      </c>
      <c r="AC14" s="179">
        <f t="shared" si="17"/>
        <v>8.077227500912576E-2</v>
      </c>
      <c r="AD14" s="179"/>
      <c r="AE14" s="179">
        <f t="shared" si="18"/>
        <v>0.56206185567010303</v>
      </c>
      <c r="AF14" s="563">
        <f t="shared" si="63"/>
        <v>121.47392921294306</v>
      </c>
      <c r="AG14" s="546">
        <f t="shared" si="19"/>
        <v>2.8524639175257726E-2</v>
      </c>
      <c r="AI14" s="179">
        <f t="shared" si="20"/>
        <v>0.17528458018477244</v>
      </c>
      <c r="AJ14" s="179">
        <f t="shared" si="21"/>
        <v>0.28999999999999998</v>
      </c>
      <c r="AK14" s="179">
        <f t="shared" si="22"/>
        <v>1.0694136738359674</v>
      </c>
      <c r="AM14" s="563">
        <f t="shared" si="23"/>
        <v>9.8999999999999986</v>
      </c>
      <c r="AN14" s="472">
        <f t="shared" si="24"/>
        <v>121.47392921294306</v>
      </c>
      <c r="AP14">
        <f t="shared" si="25"/>
        <v>9.8999999999999986</v>
      </c>
      <c r="AQ14" s="472">
        <f t="shared" si="26"/>
        <v>121.47392921294306</v>
      </c>
      <c r="AR14" s="472"/>
      <c r="AS14" s="6">
        <f t="shared" si="51"/>
        <v>8.2322190981984793</v>
      </c>
      <c r="AT14" s="6">
        <f t="shared" si="27"/>
        <v>1.1358333333333333</v>
      </c>
      <c r="AU14" s="6">
        <f t="shared" si="52"/>
        <v>7.0963857648651461</v>
      </c>
      <c r="AV14" s="6">
        <f t="shared" si="28"/>
        <v>0.56206185567010303</v>
      </c>
      <c r="AW14" s="179">
        <f t="shared" si="53"/>
        <v>0.13797413793103447</v>
      </c>
      <c r="AX14" s="179">
        <f t="shared" si="29"/>
        <v>0.24007499999999998</v>
      </c>
      <c r="AY14" s="179">
        <f t="shared" si="30"/>
        <v>0.12499375</v>
      </c>
      <c r="AZ14" s="179">
        <f t="shared" si="54"/>
        <v>1.9206960348017399</v>
      </c>
      <c r="BA14" s="472">
        <f t="shared" si="31"/>
        <v>4.6853124999999989E-2</v>
      </c>
      <c r="BB14" s="6">
        <f t="shared" si="32"/>
        <v>0.24650603183215766</v>
      </c>
      <c r="BC14" s="6"/>
      <c r="BD14" s="179">
        <f t="shared" si="55"/>
        <v>6.2192242281493594E-2</v>
      </c>
      <c r="BE14" s="179">
        <f t="shared" si="33"/>
        <v>0.15545243109496015</v>
      </c>
      <c r="BF14" s="179"/>
      <c r="BG14" s="546">
        <f t="shared" si="34"/>
        <v>1.3537562499999997E-3</v>
      </c>
      <c r="BH14" s="546">
        <f t="shared" si="35"/>
        <v>9.5774601063829765E-3</v>
      </c>
      <c r="BI14" s="546">
        <f t="shared" si="36"/>
        <v>1.5184241151617883E-3</v>
      </c>
      <c r="BJ14" s="546">
        <f t="shared" si="37"/>
        <v>7.9812167553191503E-3</v>
      </c>
      <c r="BK14">
        <f t="shared" si="38"/>
        <v>3.48E-3</v>
      </c>
      <c r="BL14" s="546">
        <f t="shared" si="39"/>
        <v>2.3922078512697214E-2</v>
      </c>
      <c r="BM14" s="472">
        <f t="shared" si="56"/>
        <v>23.922078512697215</v>
      </c>
      <c r="BN14" s="546">
        <f t="shared" si="40"/>
        <v>2.9699999999999996E-3</v>
      </c>
      <c r="BO14" s="546"/>
      <c r="BQ14" s="472">
        <f t="shared" si="57"/>
        <v>2.9699999999999998</v>
      </c>
      <c r="BR14" s="546">
        <f t="shared" si="41"/>
        <v>7.7357499999999987E-4</v>
      </c>
      <c r="BS14" s="546">
        <f t="shared" si="42"/>
        <v>4.8330916666666675E-3</v>
      </c>
      <c r="BT14" s="546">
        <f t="shared" si="43"/>
        <v>3.6827538970286681E-4</v>
      </c>
      <c r="BU14" s="546">
        <f t="shared" si="44"/>
        <v>5.9776232196376488E-3</v>
      </c>
      <c r="BV14" s="546">
        <f t="shared" si="45"/>
        <v>1.8899521276595746E-3</v>
      </c>
      <c r="BW14" s="472">
        <f t="shared" si="58"/>
        <v>7.8675753472972243</v>
      </c>
      <c r="BX14" s="179">
        <f t="shared" si="59"/>
        <v>3.4759653859994438E-2</v>
      </c>
      <c r="BY14" s="6">
        <f t="shared" si="60"/>
        <v>0.23759999999999998</v>
      </c>
      <c r="BZ14" s="179">
        <f t="shared" si="61"/>
        <v>0.87237590675650334</v>
      </c>
      <c r="CA14" s="6">
        <f t="shared" si="62"/>
        <v>87.237590675650338</v>
      </c>
      <c r="CD14" s="581">
        <f t="shared" si="46"/>
        <v>-50</v>
      </c>
      <c r="CE14">
        <f t="shared" si="47"/>
        <v>-50</v>
      </c>
    </row>
    <row r="15" spans="2:83" x14ac:dyDescent="0.2">
      <c r="E15" s="176">
        <v>10</v>
      </c>
      <c r="F15" s="223">
        <f t="shared" si="48"/>
        <v>1.1000000000000001E-2</v>
      </c>
      <c r="G15" s="223"/>
      <c r="H15" s="223">
        <f t="shared" si="0"/>
        <v>0.26400000000000001</v>
      </c>
      <c r="I15" s="559">
        <f t="shared" si="1"/>
        <v>12</v>
      </c>
      <c r="J15" s="178">
        <f t="shared" si="2"/>
        <v>24.25</v>
      </c>
      <c r="K15" s="454">
        <f t="shared" si="3"/>
        <v>36.25</v>
      </c>
      <c r="L15" s="454"/>
      <c r="M15" s="223">
        <f t="shared" si="4"/>
        <v>0.66896551724137931</v>
      </c>
      <c r="N15" s="178">
        <f t="shared" si="5"/>
        <v>5.528999999999999</v>
      </c>
      <c r="O15" s="178">
        <f t="shared" si="49"/>
        <v>0.26400000000000001</v>
      </c>
      <c r="P15" s="223">
        <f t="shared" si="6"/>
        <v>0.23037499999999997</v>
      </c>
      <c r="Q15" s="223">
        <f t="shared" si="7"/>
        <v>24</v>
      </c>
      <c r="R15" s="223">
        <f t="shared" si="8"/>
        <v>0.24250000000000002</v>
      </c>
      <c r="S15" s="178">
        <f t="shared" si="9"/>
        <v>739.36769251322596</v>
      </c>
      <c r="T15" s="178">
        <f t="shared" si="10"/>
        <v>24</v>
      </c>
      <c r="U15" s="223">
        <f t="shared" si="11"/>
        <v>6.9234943027672288E-2</v>
      </c>
      <c r="V15" s="223">
        <f t="shared" si="12"/>
        <v>0.27117019352504973</v>
      </c>
      <c r="W15" s="223">
        <f t="shared" si="13"/>
        <v>0.13418731225981845</v>
      </c>
      <c r="X15" s="203">
        <f t="shared" si="14"/>
        <v>350</v>
      </c>
      <c r="Y15" s="454">
        <f t="shared" si="50"/>
        <v>350</v>
      </c>
      <c r="AA15" s="223">
        <f t="shared" si="15"/>
        <v>0.48799916151346817</v>
      </c>
      <c r="AB15" s="179">
        <f t="shared" si="16"/>
        <v>0.94581280788177335</v>
      </c>
      <c r="AC15" s="179">
        <f t="shared" si="17"/>
        <v>8.077227500912576E-2</v>
      </c>
      <c r="AD15" s="179"/>
      <c r="AE15" s="179">
        <f t="shared" si="18"/>
        <v>0.56206185567010303</v>
      </c>
      <c r="AF15" s="563">
        <f t="shared" si="63"/>
        <v>134.97103245882565</v>
      </c>
      <c r="AG15" s="546">
        <f t="shared" si="19"/>
        <v>2.8524639175257726E-2</v>
      </c>
      <c r="AI15" s="179">
        <f t="shared" si="20"/>
        <v>0.18476617069676629</v>
      </c>
      <c r="AJ15" s="179">
        <f t="shared" si="21"/>
        <v>0.28999999999999998</v>
      </c>
      <c r="AK15" s="179">
        <f t="shared" si="22"/>
        <v>1.0771263042621861</v>
      </c>
      <c r="AM15" s="563">
        <f t="shared" si="23"/>
        <v>11.000000000000002</v>
      </c>
      <c r="AN15" s="472">
        <f t="shared" si="24"/>
        <v>134.97103245882565</v>
      </c>
      <c r="AP15">
        <f t="shared" si="25"/>
        <v>11.000000000000002</v>
      </c>
      <c r="AQ15" s="472">
        <f t="shared" si="26"/>
        <v>134.97103245882565</v>
      </c>
      <c r="AR15" s="472"/>
      <c r="AS15" s="6">
        <f t="shared" si="51"/>
        <v>7.4089971883786303</v>
      </c>
      <c r="AT15" s="6">
        <f t="shared" si="27"/>
        <v>1.1358333333333333</v>
      </c>
      <c r="AU15" s="6">
        <f t="shared" si="52"/>
        <v>6.2731638550452971</v>
      </c>
      <c r="AV15" s="6">
        <f t="shared" si="28"/>
        <v>0.56206185567010303</v>
      </c>
      <c r="AW15" s="179">
        <f t="shared" si="53"/>
        <v>0.15330459770114943</v>
      </c>
      <c r="AX15" s="179">
        <f t="shared" si="29"/>
        <v>0.26674999999999999</v>
      </c>
      <c r="AY15" s="179">
        <f t="shared" si="30"/>
        <v>0.12277083333333332</v>
      </c>
      <c r="AZ15" s="179">
        <f t="shared" si="54"/>
        <v>2.1727473273375195</v>
      </c>
      <c r="BA15" s="472">
        <f t="shared" si="31"/>
        <v>5.205902777777778E-2</v>
      </c>
      <c r="BB15" s="6">
        <f t="shared" si="32"/>
        <v>0.24212211370350273</v>
      </c>
      <c r="BC15" s="6"/>
      <c r="BD15" s="179">
        <f t="shared" si="55"/>
        <v>6.555637946751551E-2</v>
      </c>
      <c r="BE15" s="179">
        <f t="shared" si="33"/>
        <v>0.15406392973192798</v>
      </c>
      <c r="BF15" s="179"/>
      <c r="BG15" s="546">
        <f t="shared" si="34"/>
        <v>1.5041736111111111E-3</v>
      </c>
      <c r="BH15" s="546">
        <f t="shared" si="35"/>
        <v>1.0641622340425533E-2</v>
      </c>
      <c r="BI15" s="546">
        <f t="shared" si="36"/>
        <v>1.6871379057353205E-3</v>
      </c>
      <c r="BJ15" s="546">
        <f t="shared" si="37"/>
        <v>8.8680186170212796E-3</v>
      </c>
      <c r="BK15">
        <f t="shared" si="38"/>
        <v>3.48E-3</v>
      </c>
      <c r="BL15" s="546">
        <f t="shared" si="39"/>
        <v>2.6194605001734636E-2</v>
      </c>
      <c r="BM15" s="472">
        <f t="shared" si="56"/>
        <v>26.194605001734637</v>
      </c>
      <c r="BN15" s="546">
        <f t="shared" si="40"/>
        <v>3.3000000000000004E-3</v>
      </c>
      <c r="BO15" s="546"/>
      <c r="BQ15" s="472">
        <f t="shared" si="57"/>
        <v>3.3000000000000003</v>
      </c>
      <c r="BR15" s="546">
        <f t="shared" si="41"/>
        <v>8.5952777777777785E-4</v>
      </c>
      <c r="BS15" s="546">
        <f t="shared" si="42"/>
        <v>4.7471388888888884E-3</v>
      </c>
      <c r="BT15" s="546">
        <f t="shared" si="43"/>
        <v>4.7925474800295393E-4</v>
      </c>
      <c r="BU15" s="546">
        <f t="shared" si="44"/>
        <v>6.0886523782163289E-3</v>
      </c>
      <c r="BV15" s="546">
        <f t="shared" si="45"/>
        <v>2.0999468085106388E-3</v>
      </c>
      <c r="BW15" s="472">
        <f t="shared" si="58"/>
        <v>8.1885991867269681</v>
      </c>
      <c r="BX15" s="179">
        <f t="shared" si="59"/>
        <v>3.7683204188461605E-2</v>
      </c>
      <c r="BY15" s="6">
        <f t="shared" si="60"/>
        <v>0.26400000000000001</v>
      </c>
      <c r="BZ15" s="179">
        <f t="shared" si="61"/>
        <v>0.875090148655008</v>
      </c>
      <c r="CA15" s="6">
        <f t="shared" si="62"/>
        <v>87.509014865500802</v>
      </c>
      <c r="CD15" s="581">
        <f t="shared" si="46"/>
        <v>-50</v>
      </c>
      <c r="CE15">
        <f t="shared" si="47"/>
        <v>-50</v>
      </c>
    </row>
    <row r="16" spans="2:83" x14ac:dyDescent="0.2">
      <c r="E16" s="176">
        <v>11</v>
      </c>
      <c r="F16" s="223">
        <f t="shared" si="48"/>
        <v>1.21E-2</v>
      </c>
      <c r="G16" s="223"/>
      <c r="H16" s="223">
        <f t="shared" si="0"/>
        <v>0.29039999999999999</v>
      </c>
      <c r="I16" s="559">
        <f t="shared" si="1"/>
        <v>12</v>
      </c>
      <c r="J16" s="178">
        <f t="shared" si="2"/>
        <v>24.25</v>
      </c>
      <c r="K16" s="454">
        <f t="shared" si="3"/>
        <v>36.25</v>
      </c>
      <c r="L16" s="454"/>
      <c r="M16" s="223">
        <f t="shared" si="4"/>
        <v>0.66896551724137931</v>
      </c>
      <c r="N16" s="178">
        <f t="shared" si="5"/>
        <v>5.528999999999999</v>
      </c>
      <c r="O16" s="178">
        <f t="shared" si="49"/>
        <v>0.29039999999999999</v>
      </c>
      <c r="P16" s="223">
        <f t="shared" si="6"/>
        <v>0.23037499999999997</v>
      </c>
      <c r="Q16" s="223">
        <f t="shared" si="7"/>
        <v>24</v>
      </c>
      <c r="R16" s="223">
        <f t="shared" si="8"/>
        <v>0.24250000000000002</v>
      </c>
      <c r="S16" s="178">
        <f t="shared" si="9"/>
        <v>671.06232009851533</v>
      </c>
      <c r="T16" s="178">
        <f t="shared" si="10"/>
        <v>24</v>
      </c>
      <c r="U16" s="223">
        <f t="shared" si="11"/>
        <v>7.6158437330439505E-2</v>
      </c>
      <c r="V16" s="223">
        <f t="shared" si="12"/>
        <v>0.29828721287755472</v>
      </c>
      <c r="W16" s="223">
        <f t="shared" si="13"/>
        <v>0.14760604348580025</v>
      </c>
      <c r="X16" s="203">
        <f t="shared" si="14"/>
        <v>350</v>
      </c>
      <c r="Y16" s="454">
        <f t="shared" si="50"/>
        <v>350</v>
      </c>
      <c r="AA16" s="223">
        <f t="shared" si="15"/>
        <v>0.48799916151346817</v>
      </c>
      <c r="AB16" s="179">
        <f t="shared" si="16"/>
        <v>0.94581280788177335</v>
      </c>
      <c r="AC16" s="179">
        <f t="shared" si="17"/>
        <v>8.077227500912576E-2</v>
      </c>
      <c r="AD16" s="179"/>
      <c r="AE16" s="179">
        <f t="shared" si="18"/>
        <v>0.56206185567010303</v>
      </c>
      <c r="AF16" s="563">
        <f t="shared" si="63"/>
        <v>148.4681357047082</v>
      </c>
      <c r="AG16" s="546">
        <f t="shared" si="19"/>
        <v>2.8524639175257726E-2</v>
      </c>
      <c r="AI16" s="179">
        <f t="shared" si="20"/>
        <v>0.19378439466928504</v>
      </c>
      <c r="AJ16" s="179">
        <f t="shared" si="21"/>
        <v>0.28999999999999998</v>
      </c>
      <c r="AK16" s="179">
        <f t="shared" si="22"/>
        <v>1.0848389346884046</v>
      </c>
      <c r="AM16" s="563">
        <f t="shared" si="23"/>
        <v>12.1</v>
      </c>
      <c r="AN16" s="472">
        <f t="shared" si="24"/>
        <v>148.4681357047082</v>
      </c>
      <c r="AP16">
        <f t="shared" si="25"/>
        <v>12.1</v>
      </c>
      <c r="AQ16" s="472">
        <f t="shared" si="26"/>
        <v>148.4681357047082</v>
      </c>
      <c r="AR16" s="472"/>
      <c r="AS16" s="6">
        <f t="shared" si="51"/>
        <v>6.7354519894351181</v>
      </c>
      <c r="AT16" s="6">
        <f t="shared" si="27"/>
        <v>1.1358333333333333</v>
      </c>
      <c r="AU16" s="6">
        <f t="shared" si="52"/>
        <v>5.5996186561017849</v>
      </c>
      <c r="AV16" s="6">
        <f t="shared" si="28"/>
        <v>0.56206185567010303</v>
      </c>
      <c r="AW16" s="179">
        <f t="shared" si="53"/>
        <v>0.16863505747126439</v>
      </c>
      <c r="AX16" s="179">
        <f t="shared" si="29"/>
        <v>0.29342499999999999</v>
      </c>
      <c r="AY16" s="179">
        <f t="shared" si="30"/>
        <v>0.12054791666666666</v>
      </c>
      <c r="AZ16" s="179">
        <f t="shared" si="54"/>
        <v>2.4340943262533918</v>
      </c>
      <c r="BA16" s="472">
        <f t="shared" si="31"/>
        <v>5.7264930555555552E-2</v>
      </c>
      <c r="BB16" s="6">
        <f t="shared" si="32"/>
        <v>0.23773819557484765</v>
      </c>
      <c r="BC16" s="6"/>
      <c r="BD16" s="179">
        <f t="shared" si="55"/>
        <v>6.8756110839530316E-2</v>
      </c>
      <c r="BE16" s="179">
        <f t="shared" si="33"/>
        <v>0.15266280016937836</v>
      </c>
      <c r="BF16" s="179"/>
      <c r="BG16" s="546">
        <f t="shared" si="34"/>
        <v>1.6545909722222223E-3</v>
      </c>
      <c r="BH16" s="546">
        <f t="shared" si="35"/>
        <v>1.1705784574468086E-2</v>
      </c>
      <c r="BI16" s="546">
        <f t="shared" si="36"/>
        <v>1.8558516963088523E-3</v>
      </c>
      <c r="BJ16" s="546">
        <f t="shared" si="37"/>
        <v>9.7548204787234073E-3</v>
      </c>
      <c r="BK16">
        <f t="shared" si="38"/>
        <v>3.48E-3</v>
      </c>
      <c r="BL16" s="546">
        <f t="shared" si="39"/>
        <v>2.8467368513074895E-2</v>
      </c>
      <c r="BM16" s="472">
        <f t="shared" si="56"/>
        <v>28.467368513074895</v>
      </c>
      <c r="BN16" s="546">
        <f t="shared" si="40"/>
        <v>3.6299999999999995E-3</v>
      </c>
      <c r="BO16" s="546"/>
      <c r="BQ16" s="472">
        <f t="shared" si="57"/>
        <v>3.6299999999999994</v>
      </c>
      <c r="BR16" s="546">
        <f t="shared" si="41"/>
        <v>9.4548055555555572E-4</v>
      </c>
      <c r="BS16" s="546">
        <f t="shared" si="42"/>
        <v>4.6611861111111102E-3</v>
      </c>
      <c r="BT16" s="546">
        <f t="shared" si="43"/>
        <v>6.0820241048199601E-4</v>
      </c>
      <c r="BU16" s="546">
        <f t="shared" si="44"/>
        <v>6.2176579039738573E-3</v>
      </c>
      <c r="BV16" s="546">
        <f t="shared" si="45"/>
        <v>2.3099414893617029E-3</v>
      </c>
      <c r="BW16" s="472">
        <f t="shared" si="58"/>
        <v>8.5275993933355601</v>
      </c>
      <c r="BX16" s="179">
        <f t="shared" si="59"/>
        <v>4.0624967906410452E-2</v>
      </c>
      <c r="BY16" s="6">
        <f t="shared" si="60"/>
        <v>0.29039999999999999</v>
      </c>
      <c r="BZ16" s="179">
        <f t="shared" si="61"/>
        <v>0.87727521533089847</v>
      </c>
      <c r="CA16" s="6">
        <f t="shared" si="62"/>
        <v>87.727521533089842</v>
      </c>
      <c r="CD16" s="581">
        <f t="shared" si="46"/>
        <v>-50</v>
      </c>
      <c r="CE16">
        <f t="shared" si="47"/>
        <v>-50</v>
      </c>
    </row>
    <row r="17" spans="5:83" x14ac:dyDescent="0.2">
      <c r="E17" s="176">
        <v>12</v>
      </c>
      <c r="F17" s="223">
        <f t="shared" si="48"/>
        <v>1.32E-2</v>
      </c>
      <c r="G17" s="223"/>
      <c r="H17" s="223">
        <f t="shared" si="0"/>
        <v>0.31679999999999997</v>
      </c>
      <c r="I17" s="559">
        <f t="shared" si="1"/>
        <v>12</v>
      </c>
      <c r="J17" s="178">
        <f t="shared" si="2"/>
        <v>24.25</v>
      </c>
      <c r="K17" s="454">
        <f t="shared" si="3"/>
        <v>36.25</v>
      </c>
      <c r="L17" s="454"/>
      <c r="M17" s="223">
        <f t="shared" si="4"/>
        <v>0.66896551724137931</v>
      </c>
      <c r="N17" s="178">
        <f t="shared" si="5"/>
        <v>5.528999999999999</v>
      </c>
      <c r="O17" s="178">
        <f t="shared" si="49"/>
        <v>0.31679999999999997</v>
      </c>
      <c r="P17" s="223">
        <f t="shared" si="6"/>
        <v>0.23037499999999997</v>
      </c>
      <c r="Q17" s="223">
        <f t="shared" si="7"/>
        <v>24</v>
      </c>
      <c r="R17" s="223">
        <f t="shared" si="8"/>
        <v>0.24250000000000002</v>
      </c>
      <c r="S17" s="178">
        <f t="shared" si="9"/>
        <v>614.14124651843099</v>
      </c>
      <c r="T17" s="178">
        <f t="shared" si="10"/>
        <v>24</v>
      </c>
      <c r="U17" s="223">
        <f t="shared" si="11"/>
        <v>8.3081931633206735E-2</v>
      </c>
      <c r="V17" s="223">
        <f t="shared" si="12"/>
        <v>0.32540423223005971</v>
      </c>
      <c r="W17" s="223">
        <f t="shared" si="13"/>
        <v>0.16102477471178211</v>
      </c>
      <c r="X17" s="203">
        <f t="shared" si="14"/>
        <v>350</v>
      </c>
      <c r="Y17" s="454">
        <f t="shared" si="50"/>
        <v>350</v>
      </c>
      <c r="AA17" s="223">
        <f t="shared" si="15"/>
        <v>0.48799916151346817</v>
      </c>
      <c r="AB17" s="179">
        <f t="shared" si="16"/>
        <v>0.94581280788177335</v>
      </c>
      <c r="AC17" s="179">
        <f t="shared" si="17"/>
        <v>8.077227500912576E-2</v>
      </c>
      <c r="AD17" s="179"/>
      <c r="AE17" s="179">
        <f t="shared" si="18"/>
        <v>0.56206185567010303</v>
      </c>
      <c r="AF17" s="564">
        <f t="shared" si="63"/>
        <v>161.96523895059079</v>
      </c>
      <c r="AG17" s="546">
        <f t="shared" si="19"/>
        <v>2.8524639175257726E-2</v>
      </c>
      <c r="AI17" s="179">
        <f t="shared" si="20"/>
        <v>0.20240119910893781</v>
      </c>
      <c r="AJ17" s="179">
        <f t="shared" si="21"/>
        <v>0.28999999999999998</v>
      </c>
      <c r="AK17" s="179">
        <f t="shared" si="22"/>
        <v>1.0925515651146234</v>
      </c>
      <c r="AM17" s="563">
        <f t="shared" si="23"/>
        <v>13.2</v>
      </c>
      <c r="AN17" s="472">
        <f t="shared" si="24"/>
        <v>161.96523895059079</v>
      </c>
      <c r="AP17">
        <f t="shared" si="25"/>
        <v>13.2</v>
      </c>
      <c r="AQ17" s="472">
        <f t="shared" si="26"/>
        <v>161.96523895059079</v>
      </c>
      <c r="AR17" s="472"/>
      <c r="AS17" s="6">
        <f t="shared" si="51"/>
        <v>6.1741643236488581</v>
      </c>
      <c r="AT17" s="6">
        <f t="shared" si="27"/>
        <v>1.1358333333333333</v>
      </c>
      <c r="AU17" s="6">
        <f t="shared" si="52"/>
        <v>5.0383309903155249</v>
      </c>
      <c r="AV17" s="6">
        <f t="shared" si="28"/>
        <v>0.56206185567010303</v>
      </c>
      <c r="AW17" s="179">
        <f t="shared" si="53"/>
        <v>0.18396551724137936</v>
      </c>
      <c r="AX17" s="179">
        <f t="shared" si="29"/>
        <v>0.32010000000000011</v>
      </c>
      <c r="AY17" s="179">
        <f t="shared" si="30"/>
        <v>0.11832499999999999</v>
      </c>
      <c r="AZ17" s="179">
        <f t="shared" si="54"/>
        <v>2.7052609338685834</v>
      </c>
      <c r="BA17" s="472">
        <f t="shared" si="31"/>
        <v>6.247083333333333E-2</v>
      </c>
      <c r="BB17" s="6">
        <f t="shared" si="32"/>
        <v>0.23335427744619272</v>
      </c>
      <c r="BC17" s="6"/>
      <c r="BD17" s="179">
        <f t="shared" si="55"/>
        <v>7.1813415645453516E-2</v>
      </c>
      <c r="BE17" s="179">
        <f t="shared" si="33"/>
        <v>0.15124869145439462</v>
      </c>
      <c r="BF17" s="179"/>
      <c r="BG17" s="546">
        <f t="shared" si="34"/>
        <v>1.8050083333333335E-3</v>
      </c>
      <c r="BH17" s="546">
        <f t="shared" si="35"/>
        <v>1.2769946808510641E-2</v>
      </c>
      <c r="BI17" s="546">
        <f t="shared" si="36"/>
        <v>2.0245654868823845E-3</v>
      </c>
      <c r="BJ17" s="546">
        <f t="shared" si="37"/>
        <v>1.0641622340425537E-2</v>
      </c>
      <c r="BK17">
        <f t="shared" si="38"/>
        <v>3.48E-3</v>
      </c>
      <c r="BL17" s="546">
        <f t="shared" si="39"/>
        <v>3.0740369083801719E-2</v>
      </c>
      <c r="BM17" s="472">
        <f t="shared" si="56"/>
        <v>30.740369083801721</v>
      </c>
      <c r="BN17" s="546">
        <f t="shared" si="40"/>
        <v>3.96E-3</v>
      </c>
      <c r="BO17" s="546"/>
      <c r="BQ17" s="472">
        <f t="shared" si="57"/>
        <v>3.96</v>
      </c>
      <c r="BR17" s="546">
        <f t="shared" si="41"/>
        <v>1.0314333333333336E-3</v>
      </c>
      <c r="BS17" s="546">
        <f t="shared" si="42"/>
        <v>4.5752333333333338E-3</v>
      </c>
      <c r="BT17" s="546">
        <f t="shared" si="43"/>
        <v>7.5599607246529536E-4</v>
      </c>
      <c r="BU17" s="546">
        <f t="shared" si="44"/>
        <v>6.3655178860878023E-3</v>
      </c>
      <c r="BV17" s="546">
        <f t="shared" si="45"/>
        <v>2.519936170212767E-3</v>
      </c>
      <c r="BW17" s="472">
        <f t="shared" si="58"/>
        <v>8.8854540563005688</v>
      </c>
      <c r="BX17" s="179">
        <f t="shared" si="59"/>
        <v>4.3585823140102287E-2</v>
      </c>
      <c r="BY17" s="6">
        <f t="shared" si="60"/>
        <v>0.31679999999999997</v>
      </c>
      <c r="BZ17" s="179">
        <f t="shared" si="61"/>
        <v>0.87905788646087213</v>
      </c>
      <c r="CA17" s="6">
        <f t="shared" si="62"/>
        <v>87.905788646087217</v>
      </c>
      <c r="CD17" s="581">
        <f t="shared" si="46"/>
        <v>-50</v>
      </c>
      <c r="CE17">
        <f t="shared" si="47"/>
        <v>-50</v>
      </c>
    </row>
    <row r="18" spans="5:83" x14ac:dyDescent="0.2">
      <c r="E18" s="176">
        <v>13</v>
      </c>
      <c r="F18" s="223">
        <f t="shared" si="48"/>
        <v>1.43E-2</v>
      </c>
      <c r="G18" s="223"/>
      <c r="H18" s="223">
        <f t="shared" si="0"/>
        <v>0.34320000000000001</v>
      </c>
      <c r="I18" s="559">
        <f t="shared" si="1"/>
        <v>12</v>
      </c>
      <c r="J18" s="178">
        <f t="shared" si="2"/>
        <v>24.25</v>
      </c>
      <c r="K18" s="454">
        <f t="shared" si="3"/>
        <v>36.25</v>
      </c>
      <c r="L18" s="454"/>
      <c r="M18" s="223">
        <f t="shared" si="4"/>
        <v>0.66896551724137931</v>
      </c>
      <c r="N18" s="178">
        <f t="shared" si="5"/>
        <v>5.528999999999999</v>
      </c>
      <c r="O18" s="178">
        <f t="shared" si="49"/>
        <v>0.34320000000000001</v>
      </c>
      <c r="P18" s="223">
        <f t="shared" si="6"/>
        <v>0.23037499999999997</v>
      </c>
      <c r="Q18" s="223">
        <f t="shared" si="7"/>
        <v>24</v>
      </c>
      <c r="R18" s="223">
        <f t="shared" si="8"/>
        <v>0.24250000000000002</v>
      </c>
      <c r="S18" s="178">
        <f t="shared" si="9"/>
        <v>565.97732619742465</v>
      </c>
      <c r="T18" s="178">
        <f t="shared" si="10"/>
        <v>24</v>
      </c>
      <c r="U18" s="223">
        <f t="shared" si="11"/>
        <v>9.0005425935973965E-2</v>
      </c>
      <c r="V18" s="223">
        <f t="shared" si="12"/>
        <v>0.35252125158256464</v>
      </c>
      <c r="W18" s="223">
        <f t="shared" si="13"/>
        <v>0.17444350593776398</v>
      </c>
      <c r="X18" s="203">
        <f t="shared" si="14"/>
        <v>350</v>
      </c>
      <c r="Y18" s="454">
        <f t="shared" si="50"/>
        <v>350</v>
      </c>
      <c r="AA18" s="223">
        <f t="shared" si="15"/>
        <v>0.48799916151346817</v>
      </c>
      <c r="AB18" s="179">
        <f t="shared" si="16"/>
        <v>0.94581280788177335</v>
      </c>
      <c r="AC18" s="179">
        <f t="shared" si="17"/>
        <v>8.077227500912576E-2</v>
      </c>
      <c r="AD18" s="179"/>
      <c r="AE18" s="179">
        <f t="shared" si="18"/>
        <v>0.56206185567010303</v>
      </c>
      <c r="AF18" s="563">
        <f t="shared" si="63"/>
        <v>175.46234219647332</v>
      </c>
      <c r="AG18" s="546">
        <f t="shared" si="19"/>
        <v>2.8524639175257726E-2</v>
      </c>
      <c r="AI18" s="179">
        <f t="shared" si="20"/>
        <v>0.2106658472181254</v>
      </c>
      <c r="AJ18" s="179">
        <f t="shared" si="21"/>
        <v>0.28999999999999998</v>
      </c>
      <c r="AK18" s="179">
        <f t="shared" si="22"/>
        <v>1.1002641955408419</v>
      </c>
      <c r="AM18" s="563">
        <f t="shared" si="23"/>
        <v>14.3</v>
      </c>
      <c r="AN18" s="472">
        <f t="shared" si="24"/>
        <v>175.46234219647332</v>
      </c>
      <c r="AP18">
        <f t="shared" si="25"/>
        <v>14.3</v>
      </c>
      <c r="AQ18" s="472">
        <f t="shared" si="26"/>
        <v>175.46234219647332</v>
      </c>
      <c r="AR18" s="472"/>
      <c r="AS18" s="6">
        <f t="shared" si="51"/>
        <v>5.6992286064451001</v>
      </c>
      <c r="AT18" s="6">
        <f t="shared" si="27"/>
        <v>1.1358333333333333</v>
      </c>
      <c r="AU18" s="6">
        <f t="shared" si="52"/>
        <v>4.5633952731117668</v>
      </c>
      <c r="AV18" s="6">
        <f t="shared" si="28"/>
        <v>0.56206185567010303</v>
      </c>
      <c r="AW18" s="179">
        <f t="shared" si="53"/>
        <v>0.19929597701149429</v>
      </c>
      <c r="AX18" s="179">
        <f t="shared" si="29"/>
        <v>0.346775</v>
      </c>
      <c r="AY18" s="179">
        <f t="shared" si="30"/>
        <v>0.11610208333333333</v>
      </c>
      <c r="AZ18" s="179">
        <f t="shared" si="54"/>
        <v>2.9868111755100579</v>
      </c>
      <c r="BA18" s="472">
        <f t="shared" si="31"/>
        <v>6.7676736111111108E-2</v>
      </c>
      <c r="BB18" s="6">
        <f t="shared" si="32"/>
        <v>0.22897035931753773</v>
      </c>
      <c r="BC18" s="6"/>
      <c r="BD18" s="179">
        <f t="shared" si="55"/>
        <v>7.4745772827334897E-2</v>
      </c>
      <c r="BE18" s="179">
        <f t="shared" si="33"/>
        <v>0.14982123607078462</v>
      </c>
      <c r="BF18" s="179"/>
      <c r="BG18" s="546">
        <f t="shared" si="34"/>
        <v>1.9554256944444444E-3</v>
      </c>
      <c r="BH18" s="546">
        <f t="shared" si="35"/>
        <v>1.3834109042553191E-2</v>
      </c>
      <c r="BI18" s="546">
        <f t="shared" si="36"/>
        <v>2.1932792774559161E-3</v>
      </c>
      <c r="BJ18" s="546">
        <f t="shared" si="37"/>
        <v>1.1528424202127662E-2</v>
      </c>
      <c r="BK18">
        <f t="shared" si="38"/>
        <v>3.48E-3</v>
      </c>
      <c r="BL18" s="546">
        <f t="shared" si="39"/>
        <v>3.3013606751006563E-2</v>
      </c>
      <c r="BM18" s="472">
        <f t="shared" si="56"/>
        <v>33.013606751006563</v>
      </c>
      <c r="BN18" s="546">
        <f t="shared" si="40"/>
        <v>4.2899999999999995E-3</v>
      </c>
      <c r="BO18" s="546"/>
      <c r="BQ18" s="472">
        <f t="shared" si="57"/>
        <v>4.2899999999999991</v>
      </c>
      <c r="BR18" s="546">
        <f t="shared" si="41"/>
        <v>1.1173861111111111E-3</v>
      </c>
      <c r="BS18" s="546">
        <f t="shared" si="42"/>
        <v>4.4892805555555556E-3</v>
      </c>
      <c r="BT18" s="546">
        <f t="shared" si="43"/>
        <v>9.2347428139923277E-4</v>
      </c>
      <c r="BU18" s="546">
        <f t="shared" si="44"/>
        <v>6.533071248289799E-3</v>
      </c>
      <c r="BV18" s="546">
        <f t="shared" si="45"/>
        <v>2.7299308510638299E-3</v>
      </c>
      <c r="BW18" s="472">
        <f t="shared" si="58"/>
        <v>9.2630020993536295</v>
      </c>
      <c r="BX18" s="179">
        <f t="shared" si="59"/>
        <v>4.6566608850360194E-2</v>
      </c>
      <c r="BY18" s="6">
        <f t="shared" si="60"/>
        <v>0.34320000000000001</v>
      </c>
      <c r="BZ18" s="179">
        <f t="shared" si="61"/>
        <v>0.88052694152608102</v>
      </c>
      <c r="CA18" s="6">
        <f t="shared" si="62"/>
        <v>88.052694152608098</v>
      </c>
      <c r="CD18" s="581">
        <f t="shared" si="46"/>
        <v>-50</v>
      </c>
      <c r="CE18">
        <f t="shared" si="47"/>
        <v>-50</v>
      </c>
    </row>
    <row r="19" spans="5:83" x14ac:dyDescent="0.2">
      <c r="E19" s="176">
        <v>14</v>
      </c>
      <c r="F19" s="223">
        <f t="shared" si="48"/>
        <v>1.5400000000000002E-2</v>
      </c>
      <c r="G19" s="223"/>
      <c r="H19" s="223">
        <f t="shared" si="0"/>
        <v>0.36960000000000004</v>
      </c>
      <c r="I19" s="559">
        <f t="shared" si="1"/>
        <v>12</v>
      </c>
      <c r="J19" s="178">
        <f t="shared" si="2"/>
        <v>24.25</v>
      </c>
      <c r="K19" s="454">
        <f t="shared" si="3"/>
        <v>36.25</v>
      </c>
      <c r="L19" s="454"/>
      <c r="M19" s="223">
        <f t="shared" si="4"/>
        <v>0.66896551724137931</v>
      </c>
      <c r="N19" s="178">
        <f t="shared" si="5"/>
        <v>5.528999999999999</v>
      </c>
      <c r="O19" s="178">
        <f t="shared" si="49"/>
        <v>0.36960000000000004</v>
      </c>
      <c r="P19" s="223">
        <f t="shared" si="6"/>
        <v>0.23037499999999997</v>
      </c>
      <c r="Q19" s="223">
        <f t="shared" si="7"/>
        <v>24</v>
      </c>
      <c r="R19" s="223">
        <f t="shared" si="8"/>
        <v>0.24250000000000002</v>
      </c>
      <c r="S19" s="178">
        <f t="shared" si="9"/>
        <v>524.69402658332524</v>
      </c>
      <c r="T19" s="178">
        <f t="shared" si="10"/>
        <v>24</v>
      </c>
      <c r="U19" s="223">
        <f t="shared" si="11"/>
        <v>9.6928920238741209E-2</v>
      </c>
      <c r="V19" s="223">
        <f t="shared" si="12"/>
        <v>0.37963827093506974</v>
      </c>
      <c r="W19" s="223">
        <f t="shared" si="13"/>
        <v>0.18786223716374584</v>
      </c>
      <c r="X19" s="203">
        <f t="shared" si="14"/>
        <v>350</v>
      </c>
      <c r="Y19" s="454">
        <f t="shared" si="50"/>
        <v>350</v>
      </c>
      <c r="AA19" s="223">
        <f t="shared" si="15"/>
        <v>0.48799916151346817</v>
      </c>
      <c r="AB19" s="179">
        <f t="shared" si="16"/>
        <v>0.94581280788177335</v>
      </c>
      <c r="AC19" s="179">
        <f t="shared" si="17"/>
        <v>8.077227500912576E-2</v>
      </c>
      <c r="AD19" s="179"/>
      <c r="AE19" s="179">
        <f t="shared" si="18"/>
        <v>0.56206185567010303</v>
      </c>
      <c r="AF19" s="563">
        <f t="shared" si="63"/>
        <v>188.95944544235593</v>
      </c>
      <c r="AG19" s="546">
        <f t="shared" si="19"/>
        <v>2.8524639175257726E-2</v>
      </c>
      <c r="AI19" s="179">
        <f t="shared" si="20"/>
        <v>0.21861828141197437</v>
      </c>
      <c r="AJ19" s="179">
        <f t="shared" si="21"/>
        <v>0.28999999999999998</v>
      </c>
      <c r="AK19" s="179">
        <f t="shared" si="22"/>
        <v>1.1079768259670606</v>
      </c>
      <c r="AM19" s="563">
        <f t="shared" si="23"/>
        <v>15.400000000000002</v>
      </c>
      <c r="AN19" s="472">
        <f t="shared" si="24"/>
        <v>188.95944544235593</v>
      </c>
      <c r="AP19">
        <f t="shared" si="25"/>
        <v>15.400000000000002</v>
      </c>
      <c r="AQ19" s="472">
        <f t="shared" si="26"/>
        <v>188.95944544235593</v>
      </c>
      <c r="AR19" s="472"/>
      <c r="AS19" s="6">
        <f t="shared" si="51"/>
        <v>5.2921408488418775</v>
      </c>
      <c r="AT19" s="6">
        <f t="shared" si="27"/>
        <v>1.1358333333333333</v>
      </c>
      <c r="AU19" s="6">
        <f t="shared" si="52"/>
        <v>4.1563075155085443</v>
      </c>
      <c r="AV19" s="6">
        <f t="shared" si="28"/>
        <v>0.56206185567010303</v>
      </c>
      <c r="AW19" s="179">
        <f t="shared" si="53"/>
        <v>0.21462643678160928</v>
      </c>
      <c r="AX19" s="179">
        <f t="shared" si="29"/>
        <v>0.37345000000000012</v>
      </c>
      <c r="AY19" s="179">
        <f t="shared" si="30"/>
        <v>0.11387916666666664</v>
      </c>
      <c r="AZ19" s="179">
        <f t="shared" si="54"/>
        <v>3.2793531155098625</v>
      </c>
      <c r="BA19" s="472">
        <f t="shared" si="31"/>
        <v>7.2882638888888893E-2</v>
      </c>
      <c r="BB19" s="6">
        <f t="shared" si="32"/>
        <v>0.22458644118888274</v>
      </c>
      <c r="BC19" s="6"/>
      <c r="BD19" s="179">
        <f t="shared" si="55"/>
        <v>7.7567354244195072E-2</v>
      </c>
      <c r="BE19" s="179">
        <f t="shared" si="33"/>
        <v>0.14838004882358302</v>
      </c>
      <c r="BF19" s="179"/>
      <c r="BG19" s="546">
        <f t="shared" si="34"/>
        <v>2.1058430555555563E-3</v>
      </c>
      <c r="BH19" s="546">
        <f t="shared" si="35"/>
        <v>1.4898271276595747E-2</v>
      </c>
      <c r="BI19" s="546">
        <f t="shared" si="36"/>
        <v>2.361993068029449E-3</v>
      </c>
      <c r="BJ19" s="546">
        <f t="shared" si="37"/>
        <v>1.2415226063829794E-2</v>
      </c>
      <c r="BK19">
        <f t="shared" si="38"/>
        <v>3.48E-3</v>
      </c>
      <c r="BL19" s="546">
        <f t="shared" si="39"/>
        <v>3.5287081551788647E-2</v>
      </c>
      <c r="BM19" s="472">
        <f t="shared" si="56"/>
        <v>35.287081551788646</v>
      </c>
      <c r="BN19" s="546">
        <f t="shared" si="40"/>
        <v>4.6200000000000008E-3</v>
      </c>
      <c r="BO19" s="546"/>
      <c r="BQ19" s="472">
        <f t="shared" si="57"/>
        <v>4.620000000000001</v>
      </c>
      <c r="BR19" s="546">
        <f t="shared" si="41"/>
        <v>1.2033388888888896E-3</v>
      </c>
      <c r="BS19" s="546">
        <f t="shared" si="42"/>
        <v>4.4033277777777765E-3</v>
      </c>
      <c r="BT19" s="546">
        <f t="shared" si="43"/>
        <v>1.1114412556409922E-3</v>
      </c>
      <c r="BU19" s="546">
        <f t="shared" si="44"/>
        <v>6.7211225698176405E-3</v>
      </c>
      <c r="BV19" s="546">
        <f t="shared" si="45"/>
        <v>2.9399255319148949E-3</v>
      </c>
      <c r="BW19" s="472">
        <f t="shared" si="58"/>
        <v>9.6610481017325363</v>
      </c>
      <c r="BX19" s="179">
        <f t="shared" si="59"/>
        <v>4.9568129653521184E-2</v>
      </c>
      <c r="BY19" s="6">
        <f t="shared" si="60"/>
        <v>0.36960000000000004</v>
      </c>
      <c r="BZ19" s="179">
        <f t="shared" si="61"/>
        <v>0.88174642548684812</v>
      </c>
      <c r="CA19" s="6">
        <f t="shared" si="62"/>
        <v>88.174642548684815</v>
      </c>
      <c r="CD19" s="581">
        <f t="shared" si="46"/>
        <v>-50</v>
      </c>
      <c r="CE19">
        <f t="shared" si="47"/>
        <v>-50</v>
      </c>
    </row>
    <row r="20" spans="5:83" x14ac:dyDescent="0.2">
      <c r="E20" s="176">
        <v>15</v>
      </c>
      <c r="F20" s="223">
        <f t="shared" si="48"/>
        <v>1.6500000000000001E-2</v>
      </c>
      <c r="G20" s="223"/>
      <c r="H20" s="223">
        <f t="shared" si="0"/>
        <v>0.39600000000000002</v>
      </c>
      <c r="I20" s="559">
        <f t="shared" si="1"/>
        <v>12</v>
      </c>
      <c r="J20" s="178">
        <f t="shared" si="2"/>
        <v>24.25</v>
      </c>
      <c r="K20" s="454">
        <f t="shared" si="3"/>
        <v>36.25</v>
      </c>
      <c r="L20" s="454"/>
      <c r="M20" s="223">
        <f t="shared" si="4"/>
        <v>0.66896551724137931</v>
      </c>
      <c r="N20" s="178">
        <f t="shared" si="5"/>
        <v>5.528999999999999</v>
      </c>
      <c r="O20" s="178">
        <f t="shared" si="49"/>
        <v>0.39600000000000002</v>
      </c>
      <c r="P20" s="223">
        <f t="shared" si="6"/>
        <v>0.23037499999999997</v>
      </c>
      <c r="Q20" s="223">
        <f t="shared" si="7"/>
        <v>24</v>
      </c>
      <c r="R20" s="223">
        <f t="shared" si="8"/>
        <v>0.24250000000000002</v>
      </c>
      <c r="S20" s="178">
        <f t="shared" si="9"/>
        <v>488.91522380622661</v>
      </c>
      <c r="T20" s="178">
        <f t="shared" si="10"/>
        <v>24</v>
      </c>
      <c r="U20" s="223">
        <f t="shared" si="11"/>
        <v>0.10385241454150843</v>
      </c>
      <c r="V20" s="223">
        <f t="shared" si="12"/>
        <v>0.40675529028757462</v>
      </c>
      <c r="W20" s="223">
        <f t="shared" si="13"/>
        <v>0.20128096838972764</v>
      </c>
      <c r="X20" s="203">
        <f t="shared" si="14"/>
        <v>350</v>
      </c>
      <c r="Y20" s="454">
        <f t="shared" si="50"/>
        <v>350</v>
      </c>
      <c r="AA20" s="223">
        <f t="shared" si="15"/>
        <v>0.48799916151346817</v>
      </c>
      <c r="AB20" s="179">
        <f t="shared" si="16"/>
        <v>0.94581280788177335</v>
      </c>
      <c r="AC20" s="179">
        <f t="shared" si="17"/>
        <v>8.077227500912576E-2</v>
      </c>
      <c r="AD20" s="179"/>
      <c r="AE20" s="179">
        <f t="shared" si="18"/>
        <v>0.56206185567010303</v>
      </c>
      <c r="AF20" s="563">
        <f t="shared" si="63"/>
        <v>202.45654868823846</v>
      </c>
      <c r="AG20" s="546">
        <f t="shared" si="19"/>
        <v>2.8524639175257726E-2</v>
      </c>
      <c r="AI20" s="179">
        <f t="shared" si="20"/>
        <v>0.22629141996752741</v>
      </c>
      <c r="AJ20" s="179">
        <f t="shared" si="21"/>
        <v>0.28999999999999998</v>
      </c>
      <c r="AK20" s="179">
        <f t="shared" si="22"/>
        <v>1.1156894563932791</v>
      </c>
      <c r="AM20" s="563">
        <f t="shared" si="23"/>
        <v>16.5</v>
      </c>
      <c r="AN20" s="472">
        <f t="shared" si="24"/>
        <v>202.45654868823846</v>
      </c>
      <c r="AP20">
        <f t="shared" si="25"/>
        <v>16.5</v>
      </c>
      <c r="AQ20" s="472">
        <f t="shared" si="26"/>
        <v>202.45654868823846</v>
      </c>
      <c r="AR20" s="472"/>
      <c r="AS20" s="6">
        <f t="shared" si="51"/>
        <v>4.9393314589190869</v>
      </c>
      <c r="AT20" s="6">
        <f t="shared" si="27"/>
        <v>1.1358333333333333</v>
      </c>
      <c r="AU20" s="6">
        <f t="shared" si="52"/>
        <v>3.8034981255857536</v>
      </c>
      <c r="AV20" s="6">
        <f t="shared" si="28"/>
        <v>0.56206185567010303</v>
      </c>
      <c r="AW20" s="179">
        <f t="shared" si="53"/>
        <v>0.22995689655172416</v>
      </c>
      <c r="AX20" s="179">
        <f t="shared" si="29"/>
        <v>0.40012500000000001</v>
      </c>
      <c r="AY20" s="179">
        <f t="shared" si="30"/>
        <v>0.11165625</v>
      </c>
      <c r="AZ20" s="179">
        <f t="shared" si="54"/>
        <v>3.5835432409739716</v>
      </c>
      <c r="BA20" s="472">
        <f t="shared" si="31"/>
        <v>7.8088541666666664E-2</v>
      </c>
      <c r="BB20" s="6">
        <f t="shared" si="32"/>
        <v>0.22020252306022781</v>
      </c>
      <c r="BC20" s="6"/>
      <c r="BD20" s="179">
        <f t="shared" si="55"/>
        <v>8.028983953984048E-2</v>
      </c>
      <c r="BE20" s="179">
        <f t="shared" si="33"/>
        <v>0.14692472562506287</v>
      </c>
      <c r="BF20" s="179"/>
      <c r="BG20" s="546">
        <f t="shared" si="34"/>
        <v>2.256260416666666E-3</v>
      </c>
      <c r="BH20" s="546">
        <f t="shared" si="35"/>
        <v>1.5962433510638297E-2</v>
      </c>
      <c r="BI20" s="546">
        <f t="shared" si="36"/>
        <v>2.5307068586029806E-3</v>
      </c>
      <c r="BJ20" s="546">
        <f t="shared" si="37"/>
        <v>1.3302027925531918E-2</v>
      </c>
      <c r="BK20">
        <f t="shared" si="38"/>
        <v>3.48E-3</v>
      </c>
      <c r="BL20" s="546">
        <f t="shared" si="39"/>
        <v>3.7560793523254886E-2</v>
      </c>
      <c r="BM20" s="472">
        <f t="shared" si="56"/>
        <v>37.560793523254887</v>
      </c>
      <c r="BN20" s="546">
        <f t="shared" si="40"/>
        <v>4.9500000000000004E-3</v>
      </c>
      <c r="BO20" s="546"/>
      <c r="BQ20" s="472">
        <f t="shared" si="57"/>
        <v>4.95</v>
      </c>
      <c r="BR20" s="546">
        <f t="shared" si="41"/>
        <v>1.2892916666666665E-3</v>
      </c>
      <c r="BS20" s="546">
        <f t="shared" si="42"/>
        <v>4.3173750000000009E-3</v>
      </c>
      <c r="BT20" s="546">
        <f t="shared" si="43"/>
        <v>1.3206707880900467E-3</v>
      </c>
      <c r="BU20" s="546">
        <f t="shared" si="44"/>
        <v>6.9304459907984532E-3</v>
      </c>
      <c r="BV20" s="546">
        <f t="shared" si="45"/>
        <v>3.1499202127659581E-3</v>
      </c>
      <c r="BW20" s="472">
        <f t="shared" si="58"/>
        <v>10.080366203564413</v>
      </c>
      <c r="BX20" s="179">
        <f t="shared" si="59"/>
        <v>5.2591159726819298E-2</v>
      </c>
      <c r="BY20" s="6">
        <f t="shared" si="60"/>
        <v>0.39600000000000002</v>
      </c>
      <c r="BZ20" s="179">
        <f t="shared" si="61"/>
        <v>0.8827637179501131</v>
      </c>
      <c r="CA20" s="6">
        <f t="shared" si="62"/>
        <v>88.276371795011315</v>
      </c>
      <c r="CD20" s="581">
        <f t="shared" si="46"/>
        <v>-50</v>
      </c>
      <c r="CE20">
        <f t="shared" si="47"/>
        <v>-50</v>
      </c>
    </row>
    <row r="21" spans="5:83" s="78" customFormat="1" x14ac:dyDescent="0.2">
      <c r="E21" s="195">
        <v>16</v>
      </c>
      <c r="F21" s="335">
        <f t="shared" si="48"/>
        <v>1.7600000000000001E-2</v>
      </c>
      <c r="G21" s="223"/>
      <c r="H21" s="223">
        <f t="shared" si="0"/>
        <v>0.4224</v>
      </c>
      <c r="I21" s="559">
        <f t="shared" si="1"/>
        <v>12</v>
      </c>
      <c r="J21" s="178">
        <f t="shared" si="2"/>
        <v>24.25</v>
      </c>
      <c r="K21" s="553">
        <f t="shared" si="3"/>
        <v>36.25</v>
      </c>
      <c r="L21" s="553"/>
      <c r="M21" s="335">
        <f t="shared" si="4"/>
        <v>0.66896551724137931</v>
      </c>
      <c r="N21" s="178">
        <f t="shared" si="5"/>
        <v>5.528999999999999</v>
      </c>
      <c r="O21" s="178">
        <f t="shared" si="49"/>
        <v>0.4224</v>
      </c>
      <c r="P21" s="335">
        <f t="shared" si="6"/>
        <v>0.23037499999999997</v>
      </c>
      <c r="Q21" s="223">
        <f t="shared" si="7"/>
        <v>24</v>
      </c>
      <c r="R21" s="223">
        <f t="shared" si="8"/>
        <v>0.24250000000000002</v>
      </c>
      <c r="S21" s="178">
        <f t="shared" si="9"/>
        <v>457.60882496529109</v>
      </c>
      <c r="T21" s="178">
        <f t="shared" si="10"/>
        <v>24</v>
      </c>
      <c r="U21" s="223">
        <f t="shared" si="11"/>
        <v>0.11077590884427564</v>
      </c>
      <c r="V21" s="335">
        <f t="shared" si="12"/>
        <v>0.43387230964007956</v>
      </c>
      <c r="W21" s="223">
        <f t="shared" si="13"/>
        <v>0.21469969961570951</v>
      </c>
      <c r="X21" s="555">
        <f t="shared" si="14"/>
        <v>350</v>
      </c>
      <c r="Y21" s="553">
        <f t="shared" si="50"/>
        <v>350</v>
      </c>
      <c r="AA21" s="335">
        <f t="shared" si="15"/>
        <v>0.48799916151346817</v>
      </c>
      <c r="AB21" s="179">
        <f t="shared" si="16"/>
        <v>0.94581280788177335</v>
      </c>
      <c r="AC21" s="556">
        <f t="shared" si="17"/>
        <v>8.077227500912576E-2</v>
      </c>
      <c r="AD21" s="556"/>
      <c r="AE21" s="179">
        <f t="shared" si="18"/>
        <v>0.56206185567010303</v>
      </c>
      <c r="AF21" s="563">
        <f t="shared" si="63"/>
        <v>215.95365193412104</v>
      </c>
      <c r="AG21" s="546">
        <f t="shared" si="19"/>
        <v>2.8524639175257726E-2</v>
      </c>
      <c r="AH21"/>
      <c r="AI21" s="179">
        <f t="shared" si="20"/>
        <v>0.23371277357969658</v>
      </c>
      <c r="AJ21" s="179">
        <f t="shared" si="21"/>
        <v>0.28999999999999998</v>
      </c>
      <c r="AK21" s="179">
        <f t="shared" si="22"/>
        <v>1.1234020868194978</v>
      </c>
      <c r="AM21" s="563">
        <f t="shared" si="23"/>
        <v>17.600000000000001</v>
      </c>
      <c r="AN21" s="472">
        <f t="shared" si="24"/>
        <v>215.95365193412104</v>
      </c>
      <c r="AP21">
        <f t="shared" si="25"/>
        <v>17.600000000000001</v>
      </c>
      <c r="AQ21" s="472">
        <f t="shared" si="26"/>
        <v>215.95365193412104</v>
      </c>
      <c r="AR21" s="472"/>
      <c r="AS21" s="6">
        <f t="shared" si="51"/>
        <v>4.6306232427366441</v>
      </c>
      <c r="AT21" s="6">
        <f t="shared" si="27"/>
        <v>1.1358333333333333</v>
      </c>
      <c r="AU21" s="6">
        <f t="shared" si="52"/>
        <v>3.4947899094033108</v>
      </c>
      <c r="AV21" s="6">
        <f t="shared" si="28"/>
        <v>0.56206185567010303</v>
      </c>
      <c r="AW21" s="179">
        <f t="shared" si="53"/>
        <v>0.2452873563218391</v>
      </c>
      <c r="AX21" s="179">
        <f t="shared" si="29"/>
        <v>0.42680000000000007</v>
      </c>
      <c r="AY21" s="179">
        <f t="shared" si="30"/>
        <v>0.10943333333333333</v>
      </c>
      <c r="AZ21" s="179">
        <f t="shared" si="54"/>
        <v>3.900091379835517</v>
      </c>
      <c r="BA21" s="472">
        <f t="shared" si="31"/>
        <v>8.3294444444444449E-2</v>
      </c>
      <c r="BB21" s="6">
        <f t="shared" si="32"/>
        <v>0.2158186049315729</v>
      </c>
      <c r="BC21" s="6"/>
      <c r="BD21" s="179">
        <f t="shared" si="55"/>
        <v>8.2922989708658135E-2</v>
      </c>
      <c r="BE21" s="179">
        <f t="shared" si="33"/>
        <v>0.14545484217141452</v>
      </c>
      <c r="BF21" s="179"/>
      <c r="BG21" s="546">
        <f t="shared" si="34"/>
        <v>2.4066777777777778E-3</v>
      </c>
      <c r="BH21" s="546">
        <f t="shared" si="35"/>
        <v>1.7026595744680854E-2</v>
      </c>
      <c r="BI21" s="546">
        <f t="shared" si="36"/>
        <v>2.699420649176513E-3</v>
      </c>
      <c r="BJ21" s="546">
        <f t="shared" si="37"/>
        <v>1.4188829787234047E-2</v>
      </c>
      <c r="BK21">
        <f t="shared" si="38"/>
        <v>3.48E-3</v>
      </c>
      <c r="BL21" s="546">
        <f t="shared" si="39"/>
        <v>3.983474270252E-2</v>
      </c>
      <c r="BM21" s="472">
        <f t="shared" si="56"/>
        <v>39.834742702520003</v>
      </c>
      <c r="BN21" s="546">
        <f t="shared" si="40"/>
        <v>5.28E-3</v>
      </c>
      <c r="BO21" s="546"/>
      <c r="BQ21" s="472">
        <f t="shared" si="57"/>
        <v>5.28</v>
      </c>
      <c r="BR21" s="546">
        <f t="shared" si="41"/>
        <v>1.3752444444444446E-3</v>
      </c>
      <c r="BS21" s="546">
        <f t="shared" si="42"/>
        <v>4.2314222222222218E-3</v>
      </c>
      <c r="BT21" s="546">
        <f t="shared" si="43"/>
        <v>1.551909461134715E-3</v>
      </c>
      <c r="BU21" s="546">
        <f t="shared" si="44"/>
        <v>7.1617884286379061E-3</v>
      </c>
      <c r="BV21" s="546">
        <f t="shared" si="45"/>
        <v>3.3599148936170223E-3</v>
      </c>
      <c r="BW21" s="472">
        <f t="shared" si="58"/>
        <v>10.521703322254927</v>
      </c>
      <c r="BX21" s="179">
        <f t="shared" si="59"/>
        <v>5.5636446024774924E-2</v>
      </c>
      <c r="BY21" s="6">
        <f t="shared" si="60"/>
        <v>0.4224</v>
      </c>
      <c r="BZ21" s="179">
        <f t="shared" si="61"/>
        <v>0.88361463547929675</v>
      </c>
      <c r="CA21" s="6">
        <f t="shared" si="62"/>
        <v>88.361463547929674</v>
      </c>
      <c r="CD21" s="581">
        <f t="shared" si="46"/>
        <v>-50</v>
      </c>
      <c r="CE21">
        <f t="shared" si="47"/>
        <v>-50</v>
      </c>
    </row>
    <row r="22" spans="5:83" x14ac:dyDescent="0.2">
      <c r="E22" s="176">
        <v>17</v>
      </c>
      <c r="F22" s="223">
        <f t="shared" si="48"/>
        <v>1.8700000000000001E-2</v>
      </c>
      <c r="G22" s="223"/>
      <c r="H22" s="223">
        <f t="shared" si="0"/>
        <v>0.44880000000000003</v>
      </c>
      <c r="I22" s="559">
        <f t="shared" si="1"/>
        <v>12</v>
      </c>
      <c r="J22" s="178">
        <f t="shared" si="2"/>
        <v>24.25</v>
      </c>
      <c r="K22" s="454">
        <f t="shared" si="3"/>
        <v>36.25</v>
      </c>
      <c r="L22" s="454"/>
      <c r="M22" s="223">
        <f t="shared" si="4"/>
        <v>0.66896551724137931</v>
      </c>
      <c r="N22" s="178">
        <f t="shared" si="5"/>
        <v>5.528999999999999</v>
      </c>
      <c r="O22" s="178">
        <f t="shared" si="49"/>
        <v>0.44880000000000003</v>
      </c>
      <c r="P22" s="223">
        <f t="shared" si="6"/>
        <v>0.23037499999999997</v>
      </c>
      <c r="Q22" s="223">
        <f t="shared" si="7"/>
        <v>24</v>
      </c>
      <c r="R22" s="223">
        <f t="shared" si="8"/>
        <v>0.24250000000000002</v>
      </c>
      <c r="S22" s="178">
        <f t="shared" si="9"/>
        <v>429.98558254962381</v>
      </c>
      <c r="T22" s="178">
        <f t="shared" si="10"/>
        <v>24</v>
      </c>
      <c r="U22" s="223">
        <f t="shared" si="11"/>
        <v>0.11769940314704289</v>
      </c>
      <c r="V22" s="223">
        <f t="shared" si="12"/>
        <v>0.46098932899258466</v>
      </c>
      <c r="W22" s="223">
        <f t="shared" si="13"/>
        <v>0.22811843084169137</v>
      </c>
      <c r="X22" s="203">
        <f t="shared" si="14"/>
        <v>350</v>
      </c>
      <c r="Y22" s="454">
        <f t="shared" si="50"/>
        <v>350</v>
      </c>
      <c r="AA22" s="223">
        <f t="shared" si="15"/>
        <v>0.48799916151346817</v>
      </c>
      <c r="AB22" s="179">
        <f t="shared" si="16"/>
        <v>0.94581280788177335</v>
      </c>
      <c r="AC22" s="179">
        <f t="shared" si="17"/>
        <v>8.077227500912576E-2</v>
      </c>
      <c r="AD22" s="179"/>
      <c r="AE22" s="179">
        <f t="shared" si="18"/>
        <v>0.56206185567010303</v>
      </c>
      <c r="AF22" s="563">
        <f t="shared" si="63"/>
        <v>229.45075518000363</v>
      </c>
      <c r="AG22" s="546">
        <f t="shared" si="19"/>
        <v>2.8524639175257726E-2</v>
      </c>
      <c r="AI22" s="179">
        <f t="shared" si="20"/>
        <v>0.24090561288128837</v>
      </c>
      <c r="AJ22" s="179">
        <f t="shared" si="21"/>
        <v>0.28999999999999998</v>
      </c>
      <c r="AK22" s="179">
        <f t="shared" si="22"/>
        <v>1.1311147172457163</v>
      </c>
      <c r="AM22" s="563">
        <f t="shared" si="23"/>
        <v>18.700000000000003</v>
      </c>
      <c r="AN22" s="472">
        <f t="shared" si="24"/>
        <v>229.45075518000363</v>
      </c>
      <c r="AP22">
        <f t="shared" si="25"/>
        <v>18.700000000000003</v>
      </c>
      <c r="AQ22" s="472">
        <f t="shared" si="26"/>
        <v>229.45075518000363</v>
      </c>
      <c r="AR22" s="472"/>
      <c r="AS22" s="6">
        <f t="shared" si="51"/>
        <v>4.3582336402227231</v>
      </c>
      <c r="AT22" s="6">
        <f t="shared" si="27"/>
        <v>1.1358333333333333</v>
      </c>
      <c r="AU22" s="6">
        <f t="shared" si="52"/>
        <v>3.2224003068893898</v>
      </c>
      <c r="AV22" s="6">
        <f t="shared" si="28"/>
        <v>0.56206185567010303</v>
      </c>
      <c r="AW22" s="179">
        <f t="shared" si="53"/>
        <v>0.26061781609195411</v>
      </c>
      <c r="AX22" s="179">
        <f t="shared" si="29"/>
        <v>0.45347500000000013</v>
      </c>
      <c r="AY22" s="179">
        <f t="shared" si="30"/>
        <v>0.10721041666666664</v>
      </c>
      <c r="AZ22" s="179">
        <f t="shared" si="54"/>
        <v>4.2297662307378427</v>
      </c>
      <c r="BA22" s="472">
        <f t="shared" si="31"/>
        <v>8.850034722222222E-2</v>
      </c>
      <c r="BB22" s="6">
        <f t="shared" si="32"/>
        <v>0.21143468680291785</v>
      </c>
      <c r="BC22" s="6"/>
      <c r="BD22" s="179">
        <f t="shared" si="55"/>
        <v>8.5475061340200942E-2</v>
      </c>
      <c r="BE22" s="179">
        <f t="shared" si="33"/>
        <v>0.14396995249781189</v>
      </c>
      <c r="BF22" s="179"/>
      <c r="BG22" s="546">
        <f t="shared" si="34"/>
        <v>2.5570951388888897E-3</v>
      </c>
      <c r="BH22" s="546">
        <f t="shared" si="35"/>
        <v>1.8090757978723407E-2</v>
      </c>
      <c r="BI22" s="546">
        <f t="shared" si="36"/>
        <v>2.8681344397500455E-3</v>
      </c>
      <c r="BJ22" s="546">
        <f t="shared" si="37"/>
        <v>1.5075631648936178E-2</v>
      </c>
      <c r="BK22">
        <f t="shared" si="38"/>
        <v>3.48E-3</v>
      </c>
      <c r="BL22" s="546">
        <f t="shared" si="39"/>
        <v>4.2108929126706413E-2</v>
      </c>
      <c r="BM22" s="472">
        <f t="shared" si="56"/>
        <v>42.108929126706414</v>
      </c>
      <c r="BN22" s="546">
        <f t="shared" si="40"/>
        <v>5.6100000000000004E-3</v>
      </c>
      <c r="BO22" s="546"/>
      <c r="BQ22" s="472">
        <f t="shared" si="57"/>
        <v>5.61</v>
      </c>
      <c r="BR22" s="546">
        <f t="shared" si="41"/>
        <v>1.4611972222222228E-3</v>
      </c>
      <c r="BS22" s="546">
        <f t="shared" si="42"/>
        <v>4.1454694444444428E-3</v>
      </c>
      <c r="BT22" s="546">
        <f t="shared" si="43"/>
        <v>1.8058793320019082E-3</v>
      </c>
      <c r="BU22" s="546">
        <f t="shared" si="44"/>
        <v>7.4158722645749778E-3</v>
      </c>
      <c r="BV22" s="546">
        <f t="shared" si="45"/>
        <v>3.5699095744680864E-3</v>
      </c>
      <c r="BW22" s="472">
        <f t="shared" si="58"/>
        <v>10.985781839043064</v>
      </c>
      <c r="BX22" s="179">
        <f t="shared" si="59"/>
        <v>5.8704710965749481E-2</v>
      </c>
      <c r="BY22" s="6">
        <f t="shared" si="60"/>
        <v>0.44880000000000003</v>
      </c>
      <c r="BZ22" s="179">
        <f t="shared" si="61"/>
        <v>0.88432676643722552</v>
      </c>
      <c r="CA22" s="6">
        <f t="shared" si="62"/>
        <v>88.432676643722559</v>
      </c>
      <c r="CD22" s="581">
        <f t="shared" si="46"/>
        <v>-50</v>
      </c>
      <c r="CE22">
        <f t="shared" si="47"/>
        <v>-50</v>
      </c>
    </row>
    <row r="23" spans="5:83" x14ac:dyDescent="0.2">
      <c r="E23" s="176">
        <v>18</v>
      </c>
      <c r="F23" s="223">
        <f t="shared" si="48"/>
        <v>1.9799999999999998E-2</v>
      </c>
      <c r="G23" s="223"/>
      <c r="H23" s="223">
        <f t="shared" si="0"/>
        <v>0.47519999999999996</v>
      </c>
      <c r="I23" s="559">
        <f t="shared" si="1"/>
        <v>12</v>
      </c>
      <c r="J23" s="178">
        <f t="shared" si="2"/>
        <v>24.25</v>
      </c>
      <c r="K23" s="454">
        <f t="shared" si="3"/>
        <v>36.25</v>
      </c>
      <c r="L23" s="454"/>
      <c r="M23" s="223">
        <f t="shared" si="4"/>
        <v>0.66896551724137931</v>
      </c>
      <c r="N23" s="178">
        <f t="shared" si="5"/>
        <v>5.528999999999999</v>
      </c>
      <c r="O23" s="178">
        <f t="shared" si="49"/>
        <v>0.47519999999999996</v>
      </c>
      <c r="P23" s="223">
        <f t="shared" si="6"/>
        <v>0.23037499999999997</v>
      </c>
      <c r="Q23" s="223">
        <f t="shared" si="7"/>
        <v>24</v>
      </c>
      <c r="R23" s="223">
        <f t="shared" si="8"/>
        <v>0.24250000000000002</v>
      </c>
      <c r="S23" s="178">
        <f t="shared" si="9"/>
        <v>405.43163738552124</v>
      </c>
      <c r="T23" s="178">
        <f t="shared" si="10"/>
        <v>24</v>
      </c>
      <c r="U23" s="223">
        <f t="shared" si="11"/>
        <v>0.12462289744981009</v>
      </c>
      <c r="V23" s="223">
        <f t="shared" si="12"/>
        <v>0.48810634834508948</v>
      </c>
      <c r="W23" s="223">
        <f t="shared" si="13"/>
        <v>0.24153716206767312</v>
      </c>
      <c r="X23" s="203">
        <f t="shared" si="14"/>
        <v>350</v>
      </c>
      <c r="Y23" s="454">
        <f t="shared" si="50"/>
        <v>350</v>
      </c>
      <c r="AA23" s="223">
        <f t="shared" si="15"/>
        <v>0.48799916151346817</v>
      </c>
      <c r="AB23" s="179">
        <f t="shared" si="16"/>
        <v>0.94581280788177335</v>
      </c>
      <c r="AC23" s="179">
        <f t="shared" si="17"/>
        <v>8.077227500912576E-2</v>
      </c>
      <c r="AD23" s="179"/>
      <c r="AE23" s="179">
        <f t="shared" si="18"/>
        <v>0.56206185567010303</v>
      </c>
      <c r="AF23" s="563">
        <f t="shared" si="63"/>
        <v>242.94785842588612</v>
      </c>
      <c r="AG23" s="546">
        <f t="shared" si="19"/>
        <v>2.8524639175257726E-2</v>
      </c>
      <c r="AI23" s="179">
        <f t="shared" si="20"/>
        <v>0.24788983057217945</v>
      </c>
      <c r="AJ23" s="179">
        <f t="shared" si="21"/>
        <v>0.28999999999999998</v>
      </c>
      <c r="AK23" s="179">
        <f t="shared" si="22"/>
        <v>1.1388273476719348</v>
      </c>
      <c r="AM23" s="563">
        <f t="shared" si="23"/>
        <v>19.799999999999997</v>
      </c>
      <c r="AN23" s="472">
        <f t="shared" si="24"/>
        <v>242.94785842588612</v>
      </c>
      <c r="AP23">
        <f t="shared" si="25"/>
        <v>19.799999999999997</v>
      </c>
      <c r="AQ23" s="472">
        <f t="shared" si="26"/>
        <v>242.94785842588612</v>
      </c>
      <c r="AR23" s="472"/>
      <c r="AS23" s="6">
        <f t="shared" si="51"/>
        <v>4.1161095490992397</v>
      </c>
      <c r="AT23" s="6">
        <f t="shared" si="27"/>
        <v>1.1358333333333333</v>
      </c>
      <c r="AU23" s="6">
        <f t="shared" si="52"/>
        <v>2.9802762157659064</v>
      </c>
      <c r="AV23" s="6">
        <f t="shared" si="28"/>
        <v>0.56206185567010303</v>
      </c>
      <c r="AW23" s="179">
        <f t="shared" si="53"/>
        <v>0.27594827586206894</v>
      </c>
      <c r="AX23" s="179">
        <f t="shared" si="29"/>
        <v>0.48014999999999997</v>
      </c>
      <c r="AY23" s="179">
        <f t="shared" si="30"/>
        <v>0.1049875</v>
      </c>
      <c r="AZ23" s="179">
        <f t="shared" si="54"/>
        <v>4.5734015954280265</v>
      </c>
      <c r="BA23" s="472">
        <f t="shared" si="31"/>
        <v>9.3706249999999977E-2</v>
      </c>
      <c r="BB23" s="6">
        <f t="shared" si="32"/>
        <v>0.20705076867426295</v>
      </c>
      <c r="BC23" s="6"/>
      <c r="BD23" s="179">
        <f t="shared" si="55"/>
        <v>8.7953112508881673E-2</v>
      </c>
      <c r="BE23" s="179">
        <f t="shared" si="33"/>
        <v>0.14246958739791918</v>
      </c>
      <c r="BF23" s="179"/>
      <c r="BG23" s="546">
        <f t="shared" si="34"/>
        <v>2.7075124999999989E-3</v>
      </c>
      <c r="BH23" s="546">
        <f t="shared" si="35"/>
        <v>1.9154920212765953E-2</v>
      </c>
      <c r="BI23" s="546">
        <f t="shared" si="36"/>
        <v>3.0368482303235766E-3</v>
      </c>
      <c r="BJ23" s="546">
        <f t="shared" si="37"/>
        <v>1.5962433510638301E-2</v>
      </c>
      <c r="BK23">
        <f t="shared" si="38"/>
        <v>3.48E-3</v>
      </c>
      <c r="BL23" s="546">
        <f t="shared" si="39"/>
        <v>4.4383352832944263E-2</v>
      </c>
      <c r="BM23" s="472">
        <f t="shared" si="56"/>
        <v>44.383352832944261</v>
      </c>
      <c r="BN23" s="546">
        <f t="shared" si="40"/>
        <v>5.9399999999999991E-3</v>
      </c>
      <c r="BO23" s="546"/>
      <c r="BQ23" s="472">
        <f t="shared" si="57"/>
        <v>5.9399999999999995</v>
      </c>
      <c r="BR23" s="546">
        <f t="shared" si="41"/>
        <v>1.5471499999999997E-3</v>
      </c>
      <c r="BS23" s="546">
        <f t="shared" si="42"/>
        <v>4.0595166666666663E-3</v>
      </c>
      <c r="BT23" s="546">
        <f t="shared" si="43"/>
        <v>2.0832802032241231E-3</v>
      </c>
      <c r="BU23" s="546">
        <f t="shared" si="44"/>
        <v>7.693397615167779E-3</v>
      </c>
      <c r="BV23" s="546">
        <f t="shared" si="45"/>
        <v>3.7799042553191492E-3</v>
      </c>
      <c r="BW23" s="472">
        <f t="shared" si="58"/>
        <v>11.473301870486928</v>
      </c>
      <c r="BX23" s="179">
        <f t="shared" si="59"/>
        <v>6.1796654703431188E-2</v>
      </c>
      <c r="BY23" s="6">
        <f t="shared" si="60"/>
        <v>0.47519999999999996</v>
      </c>
      <c r="BZ23" s="179">
        <f t="shared" si="61"/>
        <v>0.88492171382788254</v>
      </c>
      <c r="CA23" s="6">
        <f t="shared" si="62"/>
        <v>88.492171382788257</v>
      </c>
      <c r="CD23" s="581">
        <f t="shared" si="46"/>
        <v>-50</v>
      </c>
      <c r="CE23">
        <f t="shared" si="47"/>
        <v>-50</v>
      </c>
    </row>
    <row r="24" spans="5:83" x14ac:dyDescent="0.2">
      <c r="E24" s="176">
        <v>19</v>
      </c>
      <c r="F24" s="223">
        <f t="shared" si="48"/>
        <v>2.0900000000000002E-2</v>
      </c>
      <c r="G24" s="223"/>
      <c r="H24" s="223">
        <f t="shared" si="0"/>
        <v>0.50160000000000005</v>
      </c>
      <c r="I24" s="559">
        <f t="shared" si="1"/>
        <v>12</v>
      </c>
      <c r="J24" s="178">
        <f t="shared" si="2"/>
        <v>24.25</v>
      </c>
      <c r="K24" s="454">
        <f t="shared" si="3"/>
        <v>36.25</v>
      </c>
      <c r="L24" s="454"/>
      <c r="M24" s="223">
        <f t="shared" si="4"/>
        <v>0.66896551724137931</v>
      </c>
      <c r="N24" s="178">
        <f t="shared" si="5"/>
        <v>5.528999999999999</v>
      </c>
      <c r="O24" s="178">
        <f t="shared" si="49"/>
        <v>0.50160000000000005</v>
      </c>
      <c r="P24" s="223">
        <f t="shared" si="6"/>
        <v>0.23037499999999997</v>
      </c>
      <c r="Q24" s="223">
        <f t="shared" si="7"/>
        <v>24</v>
      </c>
      <c r="R24" s="223">
        <f t="shared" si="8"/>
        <v>0.24250000000000002</v>
      </c>
      <c r="S24" s="178">
        <f t="shared" si="9"/>
        <v>383.4623638109054</v>
      </c>
      <c r="T24" s="178">
        <f t="shared" si="10"/>
        <v>24</v>
      </c>
      <c r="U24" s="223">
        <f t="shared" si="11"/>
        <v>0.13154639175257735</v>
      </c>
      <c r="V24" s="223">
        <f t="shared" si="12"/>
        <v>0.51522336769759458</v>
      </c>
      <c r="W24" s="223">
        <f t="shared" si="13"/>
        <v>0.25495589329365503</v>
      </c>
      <c r="X24" s="203">
        <f t="shared" si="14"/>
        <v>350</v>
      </c>
      <c r="Y24" s="454">
        <f t="shared" si="50"/>
        <v>350</v>
      </c>
      <c r="AA24" s="223">
        <f t="shared" si="15"/>
        <v>0.48799916151346817</v>
      </c>
      <c r="AB24" s="179">
        <f t="shared" si="16"/>
        <v>0.94581280788177335</v>
      </c>
      <c r="AC24" s="179">
        <f t="shared" si="17"/>
        <v>8.077227500912576E-2</v>
      </c>
      <c r="AD24" s="179"/>
      <c r="AE24" s="179">
        <f t="shared" si="18"/>
        <v>0.56206185567010303</v>
      </c>
      <c r="AF24" s="563">
        <f t="shared" si="63"/>
        <v>256.44496167176874</v>
      </c>
      <c r="AG24" s="546">
        <f t="shared" si="19"/>
        <v>2.8524639175257726E-2</v>
      </c>
      <c r="AI24" s="179">
        <f t="shared" si="20"/>
        <v>0.25468259046212505</v>
      </c>
      <c r="AJ24" s="179">
        <f t="shared" si="21"/>
        <v>0.28999999999999998</v>
      </c>
      <c r="AK24" s="179">
        <f t="shared" si="22"/>
        <v>1.1465399780981536</v>
      </c>
      <c r="AM24" s="563">
        <f t="shared" si="23"/>
        <v>20.900000000000002</v>
      </c>
      <c r="AN24" s="472">
        <f t="shared" si="24"/>
        <v>256.44496167176874</v>
      </c>
      <c r="AP24">
        <f t="shared" si="25"/>
        <v>20.900000000000002</v>
      </c>
      <c r="AQ24" s="472">
        <f t="shared" si="26"/>
        <v>256.44496167176874</v>
      </c>
      <c r="AR24" s="472"/>
      <c r="AS24" s="6">
        <f t="shared" si="51"/>
        <v>3.8994722044098054</v>
      </c>
      <c r="AT24" s="6">
        <f t="shared" si="27"/>
        <v>1.1358333333333333</v>
      </c>
      <c r="AU24" s="6">
        <f t="shared" si="52"/>
        <v>2.7636388710764721</v>
      </c>
      <c r="AV24" s="6">
        <f t="shared" si="28"/>
        <v>0.56206185567010303</v>
      </c>
      <c r="AW24" s="179">
        <f t="shared" si="53"/>
        <v>0.29127873563218393</v>
      </c>
      <c r="AX24" s="179">
        <f t="shared" si="29"/>
        <v>0.50682500000000008</v>
      </c>
      <c r="AY24" s="179">
        <f t="shared" si="30"/>
        <v>0.10276458333333331</v>
      </c>
      <c r="AZ24" s="179">
        <f t="shared" si="54"/>
        <v>4.9319034200336551</v>
      </c>
      <c r="BA24" s="472">
        <f t="shared" si="31"/>
        <v>9.891215277777779E-2</v>
      </c>
      <c r="BB24" s="6">
        <f t="shared" si="32"/>
        <v>0.20266685054560796</v>
      </c>
      <c r="BC24" s="6"/>
      <c r="BD24" s="179">
        <f t="shared" si="55"/>
        <v>9.0363233059076009E-2</v>
      </c>
      <c r="BE24" s="179">
        <f t="shared" si="33"/>
        <v>0.14095325269196324</v>
      </c>
      <c r="BF24" s="179"/>
      <c r="BG24" s="546">
        <f t="shared" si="34"/>
        <v>2.8579298611111103E-3</v>
      </c>
      <c r="BH24" s="546">
        <f t="shared" si="35"/>
        <v>2.0219082446808513E-2</v>
      </c>
      <c r="BI24" s="546">
        <f t="shared" si="36"/>
        <v>3.2055620208971095E-3</v>
      </c>
      <c r="BJ24" s="546">
        <f t="shared" si="37"/>
        <v>1.684923537234043E-2</v>
      </c>
      <c r="BK24">
        <f t="shared" si="38"/>
        <v>3.48E-3</v>
      </c>
      <c r="BL24" s="546">
        <f t="shared" si="39"/>
        <v>4.6658013858371518E-2</v>
      </c>
      <c r="BM24" s="472">
        <f t="shared" si="56"/>
        <v>46.658013858371518</v>
      </c>
      <c r="BN24" s="546">
        <f t="shared" si="40"/>
        <v>6.2700000000000004E-3</v>
      </c>
      <c r="BO24" s="546"/>
      <c r="BQ24" s="472">
        <f t="shared" si="57"/>
        <v>6.2700000000000005</v>
      </c>
      <c r="BR24" s="546">
        <f t="shared" si="41"/>
        <v>1.6331027777777775E-3</v>
      </c>
      <c r="BS24" s="546">
        <f t="shared" si="42"/>
        <v>3.9735638888888881E-3</v>
      </c>
      <c r="BT24" s="546">
        <f t="shared" si="43"/>
        <v>2.3847915628227813E-3</v>
      </c>
      <c r="BU24" s="546">
        <f t="shared" si="44"/>
        <v>7.9950442733475197E-3</v>
      </c>
      <c r="BV24" s="546">
        <f t="shared" si="45"/>
        <v>3.9898989361702138E-3</v>
      </c>
      <c r="BW24" s="472">
        <f t="shared" si="58"/>
        <v>11.984943209517734</v>
      </c>
      <c r="BX24" s="179">
        <f t="shared" si="59"/>
        <v>6.4912957067889243E-2</v>
      </c>
      <c r="BY24" s="6">
        <f t="shared" si="60"/>
        <v>0.50160000000000005</v>
      </c>
      <c r="BZ24" s="179">
        <f t="shared" si="61"/>
        <v>0.8854166418295879</v>
      </c>
      <c r="CA24" s="6">
        <f t="shared" si="62"/>
        <v>88.541664182958783</v>
      </c>
      <c r="CD24" s="581">
        <f t="shared" si="46"/>
        <v>-50</v>
      </c>
      <c r="CE24">
        <f t="shared" si="47"/>
        <v>-50</v>
      </c>
    </row>
    <row r="25" spans="5:83" x14ac:dyDescent="0.2">
      <c r="E25" s="176">
        <v>20</v>
      </c>
      <c r="F25" s="223">
        <f t="shared" si="48"/>
        <v>2.2000000000000002E-2</v>
      </c>
      <c r="G25" s="223"/>
      <c r="H25" s="223">
        <f t="shared" si="0"/>
        <v>0.52800000000000002</v>
      </c>
      <c r="I25" s="559">
        <f t="shared" si="1"/>
        <v>12</v>
      </c>
      <c r="J25" s="178">
        <f t="shared" si="2"/>
        <v>24.25</v>
      </c>
      <c r="K25" s="454">
        <f t="shared" si="3"/>
        <v>36.25</v>
      </c>
      <c r="L25" s="454"/>
      <c r="M25" s="223">
        <f t="shared" si="4"/>
        <v>0.66896551724137931</v>
      </c>
      <c r="N25" s="178">
        <f t="shared" si="5"/>
        <v>5.528999999999999</v>
      </c>
      <c r="O25" s="178">
        <f t="shared" si="49"/>
        <v>0.52800000000000002</v>
      </c>
      <c r="P25" s="223">
        <f t="shared" si="6"/>
        <v>0.23037499999999997</v>
      </c>
      <c r="Q25" s="223">
        <f t="shared" si="7"/>
        <v>24</v>
      </c>
      <c r="R25" s="223">
        <f t="shared" si="8"/>
        <v>0.24250000000000002</v>
      </c>
      <c r="S25" s="178">
        <f t="shared" si="9"/>
        <v>363.69006129742701</v>
      </c>
      <c r="T25" s="178">
        <f t="shared" si="10"/>
        <v>24</v>
      </c>
      <c r="U25" s="223">
        <f t="shared" si="11"/>
        <v>0.13846988605534458</v>
      </c>
      <c r="V25" s="223">
        <f t="shared" si="12"/>
        <v>0.54234038705009946</v>
      </c>
      <c r="W25" s="223">
        <f t="shared" si="13"/>
        <v>0.2683746245196369</v>
      </c>
      <c r="X25" s="203">
        <f t="shared" si="14"/>
        <v>350</v>
      </c>
      <c r="Y25" s="454">
        <f t="shared" si="50"/>
        <v>350</v>
      </c>
      <c r="AA25" s="223">
        <f t="shared" si="15"/>
        <v>0.48799916151346817</v>
      </c>
      <c r="AB25" s="179">
        <f t="shared" si="16"/>
        <v>0.94581280788177335</v>
      </c>
      <c r="AC25" s="179">
        <f t="shared" si="17"/>
        <v>8.077227500912576E-2</v>
      </c>
      <c r="AD25" s="179"/>
      <c r="AE25" s="179">
        <f t="shared" si="18"/>
        <v>0.56206185567010303</v>
      </c>
      <c r="AF25" s="563">
        <f t="shared" si="63"/>
        <v>269.94206491765129</v>
      </c>
      <c r="AG25" s="546">
        <f t="shared" si="19"/>
        <v>2.8524639175257726E-2</v>
      </c>
      <c r="AI25" s="179">
        <f t="shared" si="20"/>
        <v>0.26129882446710923</v>
      </c>
      <c r="AJ25" s="179">
        <f t="shared" si="21"/>
        <v>0.28999999999999998</v>
      </c>
      <c r="AK25" s="179">
        <f t="shared" si="22"/>
        <v>1.1542526085243723</v>
      </c>
      <c r="AM25" s="563">
        <f t="shared" si="23"/>
        <v>22.000000000000004</v>
      </c>
      <c r="AN25" s="472">
        <f t="shared" si="24"/>
        <v>269.94206491765129</v>
      </c>
      <c r="AP25">
        <f t="shared" si="25"/>
        <v>22.000000000000004</v>
      </c>
      <c r="AQ25" s="472">
        <f t="shared" si="26"/>
        <v>269.94206491765129</v>
      </c>
      <c r="AR25" s="472"/>
      <c r="AS25" s="6">
        <f t="shared" si="51"/>
        <v>3.7044985941893152</v>
      </c>
      <c r="AT25" s="6">
        <f t="shared" si="27"/>
        <v>1.1358333333333333</v>
      </c>
      <c r="AU25" s="6">
        <f t="shared" si="52"/>
        <v>2.5686652608559819</v>
      </c>
      <c r="AV25" s="6">
        <f t="shared" si="28"/>
        <v>0.56206185567010303</v>
      </c>
      <c r="AW25" s="179">
        <f t="shared" si="53"/>
        <v>0.30660919540229886</v>
      </c>
      <c r="AX25" s="179">
        <f t="shared" si="29"/>
        <v>0.53349999999999997</v>
      </c>
      <c r="AY25" s="179">
        <f t="shared" si="30"/>
        <v>0.10054166666666665</v>
      </c>
      <c r="AZ25" s="179">
        <f t="shared" si="54"/>
        <v>5.3062577704102782</v>
      </c>
      <c r="BA25" s="472">
        <f t="shared" si="31"/>
        <v>0.10411805555555556</v>
      </c>
      <c r="BB25" s="6">
        <f t="shared" si="32"/>
        <v>0.19828293241695299</v>
      </c>
      <c r="BC25" s="6"/>
      <c r="BD25" s="179">
        <f t="shared" si="55"/>
        <v>9.271072094303752E-2</v>
      </c>
      <c r="BE25" s="179">
        <f t="shared" si="33"/>
        <v>0.13942042732525084</v>
      </c>
      <c r="BF25" s="179"/>
      <c r="BG25" s="546">
        <f t="shared" si="34"/>
        <v>3.0083472222222217E-3</v>
      </c>
      <c r="BH25" s="546">
        <f t="shared" si="35"/>
        <v>2.1283244680851066E-2</v>
      </c>
      <c r="BI25" s="546">
        <f t="shared" si="36"/>
        <v>3.374275811470641E-3</v>
      </c>
      <c r="BJ25" s="546">
        <f t="shared" si="37"/>
        <v>1.7736037234042559E-2</v>
      </c>
      <c r="BK25">
        <f t="shared" si="38"/>
        <v>3.48E-3</v>
      </c>
      <c r="BL25" s="546">
        <f t="shared" si="39"/>
        <v>4.8932912240133838E-2</v>
      </c>
      <c r="BM25" s="472">
        <f t="shared" si="56"/>
        <v>48.932912240133838</v>
      </c>
      <c r="BN25" s="546">
        <f t="shared" si="40"/>
        <v>6.6000000000000008E-3</v>
      </c>
      <c r="BO25" s="546"/>
      <c r="BQ25" s="472">
        <f t="shared" si="57"/>
        <v>6.6000000000000005</v>
      </c>
      <c r="BR25" s="546">
        <f t="shared" si="41"/>
        <v>1.7190555555555553E-3</v>
      </c>
      <c r="BS25" s="546">
        <f t="shared" si="42"/>
        <v>3.8876111111111108E-3</v>
      </c>
      <c r="BT25" s="546">
        <f t="shared" si="43"/>
        <v>2.7110742578299128E-3</v>
      </c>
      <c r="BU25" s="546">
        <f t="shared" si="44"/>
        <v>8.3214733826911611E-3</v>
      </c>
      <c r="BV25" s="546">
        <f t="shared" si="45"/>
        <v>4.1998936170212775E-3</v>
      </c>
      <c r="BW25" s="472">
        <f t="shared" si="58"/>
        <v>12.521366999712439</v>
      </c>
      <c r="BX25" s="179">
        <f t="shared" si="59"/>
        <v>6.8054279239846277E-2</v>
      </c>
      <c r="BY25" s="6">
        <f t="shared" si="60"/>
        <v>0.52800000000000002</v>
      </c>
      <c r="BZ25" s="179">
        <f t="shared" si="61"/>
        <v>0.88582536589346095</v>
      </c>
      <c r="CA25" s="6">
        <f t="shared" si="62"/>
        <v>88.582536589346091</v>
      </c>
      <c r="CD25" s="581">
        <f t="shared" si="46"/>
        <v>-50</v>
      </c>
      <c r="CE25">
        <f t="shared" si="47"/>
        <v>-50</v>
      </c>
    </row>
    <row r="26" spans="5:83" x14ac:dyDescent="0.2">
      <c r="E26" s="176">
        <v>21</v>
      </c>
      <c r="F26" s="223">
        <f t="shared" si="48"/>
        <v>2.3099999999999999E-2</v>
      </c>
      <c r="G26" s="223"/>
      <c r="H26" s="223">
        <f t="shared" si="0"/>
        <v>0.5544</v>
      </c>
      <c r="I26" s="559">
        <f t="shared" si="1"/>
        <v>12</v>
      </c>
      <c r="J26" s="178">
        <f t="shared" si="2"/>
        <v>24.25</v>
      </c>
      <c r="K26" s="454">
        <f t="shared" si="3"/>
        <v>36.25</v>
      </c>
      <c r="L26" s="454"/>
      <c r="M26" s="223">
        <f t="shared" si="4"/>
        <v>0.66896551724137931</v>
      </c>
      <c r="N26" s="178">
        <f t="shared" si="5"/>
        <v>5.528999999999999</v>
      </c>
      <c r="O26" s="178">
        <f t="shared" si="49"/>
        <v>0.5544</v>
      </c>
      <c r="P26" s="223">
        <f t="shared" si="6"/>
        <v>0.23037499999999997</v>
      </c>
      <c r="Q26" s="223">
        <f t="shared" si="7"/>
        <v>24</v>
      </c>
      <c r="R26" s="223">
        <f t="shared" si="8"/>
        <v>0.24250000000000002</v>
      </c>
      <c r="S26" s="178">
        <f t="shared" si="9"/>
        <v>345.80087703768316</v>
      </c>
      <c r="T26" s="178">
        <f t="shared" si="10"/>
        <v>24</v>
      </c>
      <c r="U26" s="223">
        <f t="shared" si="11"/>
        <v>0.14539338035811178</v>
      </c>
      <c r="V26" s="223">
        <f t="shared" si="12"/>
        <v>0.56945740640260445</v>
      </c>
      <c r="W26" s="223">
        <f t="shared" si="13"/>
        <v>0.2817933557456187</v>
      </c>
      <c r="X26" s="203">
        <f t="shared" si="14"/>
        <v>350</v>
      </c>
      <c r="Y26" s="454">
        <f t="shared" si="50"/>
        <v>350</v>
      </c>
      <c r="AA26" s="223">
        <f t="shared" si="15"/>
        <v>0.48799916151346817</v>
      </c>
      <c r="AB26" s="179">
        <f t="shared" si="16"/>
        <v>0.94581280788177335</v>
      </c>
      <c r="AC26" s="179">
        <f t="shared" si="17"/>
        <v>8.077227500912576E-2</v>
      </c>
      <c r="AD26" s="179"/>
      <c r="AE26" s="179">
        <f t="shared" si="18"/>
        <v>0.56206185567010303</v>
      </c>
      <c r="AF26" s="563">
        <f t="shared" si="63"/>
        <v>283.43916816353385</v>
      </c>
      <c r="AG26" s="546">
        <f t="shared" si="19"/>
        <v>2.8524639175257726E-2</v>
      </c>
      <c r="AI26" s="179">
        <f t="shared" si="20"/>
        <v>0.2677516189517587</v>
      </c>
      <c r="AJ26" s="179">
        <f t="shared" si="21"/>
        <v>0.28999999999999998</v>
      </c>
      <c r="AK26" s="179">
        <f t="shared" si="22"/>
        <v>1.1619652389505908</v>
      </c>
      <c r="AM26" s="563">
        <f t="shared" si="23"/>
        <v>23.099999999999998</v>
      </c>
      <c r="AN26" s="472">
        <f t="shared" si="24"/>
        <v>283.43916816353385</v>
      </c>
      <c r="AP26">
        <f t="shared" si="25"/>
        <v>23.099999999999998</v>
      </c>
      <c r="AQ26" s="472">
        <f t="shared" si="26"/>
        <v>283.43916816353385</v>
      </c>
      <c r="AR26" s="472"/>
      <c r="AS26" s="6">
        <f t="shared" si="51"/>
        <v>3.5280938992279189</v>
      </c>
      <c r="AT26" s="6">
        <f t="shared" si="27"/>
        <v>1.1358333333333333</v>
      </c>
      <c r="AU26" s="6">
        <f t="shared" si="52"/>
        <v>2.3922605658945857</v>
      </c>
      <c r="AV26" s="6">
        <f t="shared" si="28"/>
        <v>0.56206185567010303</v>
      </c>
      <c r="AW26" s="179">
        <f t="shared" si="53"/>
        <v>0.32193965517241385</v>
      </c>
      <c r="AX26" s="179">
        <f t="shared" si="29"/>
        <v>0.56017499999999998</v>
      </c>
      <c r="AY26" s="179">
        <f t="shared" si="30"/>
        <v>9.8318749999999983E-2</v>
      </c>
      <c r="AZ26" s="179">
        <f t="shared" si="54"/>
        <v>5.6975398893903764</v>
      </c>
      <c r="BA26" s="472">
        <f t="shared" si="31"/>
        <v>0.10932395833333333</v>
      </c>
      <c r="BB26" s="6">
        <f t="shared" si="32"/>
        <v>0.19389901428829795</v>
      </c>
      <c r="BC26" s="6"/>
      <c r="BD26" s="179">
        <f t="shared" si="55"/>
        <v>9.5000219297992503E-2</v>
      </c>
      <c r="BE26" s="179">
        <f t="shared" si="33"/>
        <v>0.13787056127638947</v>
      </c>
      <c r="BF26" s="179"/>
      <c r="BG26" s="546">
        <f t="shared" si="34"/>
        <v>3.1587645833333336E-3</v>
      </c>
      <c r="BH26" s="546">
        <f t="shared" si="35"/>
        <v>2.2347406914893616E-2</v>
      </c>
      <c r="BI26" s="546">
        <f t="shared" si="36"/>
        <v>3.5429896020441731E-3</v>
      </c>
      <c r="BJ26" s="546">
        <f t="shared" si="37"/>
        <v>1.8622839095744689E-2</v>
      </c>
      <c r="BK26">
        <f t="shared" si="38"/>
        <v>3.48E-3</v>
      </c>
      <c r="BL26" s="546">
        <f t="shared" si="39"/>
        <v>5.1208048015384644E-2</v>
      </c>
      <c r="BM26" s="472">
        <f t="shared" si="56"/>
        <v>51.208048015384641</v>
      </c>
      <c r="BN26" s="546">
        <f t="shared" si="40"/>
        <v>6.9299999999999995E-3</v>
      </c>
      <c r="BO26" s="546"/>
      <c r="BQ26" s="472">
        <f t="shared" si="57"/>
        <v>6.93</v>
      </c>
      <c r="BR26" s="546">
        <f t="shared" si="41"/>
        <v>1.8050083333333335E-3</v>
      </c>
      <c r="BS26" s="546">
        <f t="shared" si="42"/>
        <v>3.8016583333333326E-3</v>
      </c>
      <c r="BT26" s="546">
        <f t="shared" si="43"/>
        <v>3.0627719498235056E-3</v>
      </c>
      <c r="BU26" s="546">
        <f t="shared" si="44"/>
        <v>8.6733288936099179E-3</v>
      </c>
      <c r="BV26" s="546">
        <f t="shared" si="45"/>
        <v>4.4098882978723412E-3</v>
      </c>
      <c r="BW26" s="472">
        <f t="shared" si="58"/>
        <v>13.083217191482259</v>
      </c>
      <c r="BX26" s="179">
        <f t="shared" si="59"/>
        <v>7.1221265206866904E-2</v>
      </c>
      <c r="BY26" s="6">
        <f t="shared" si="60"/>
        <v>0.5544</v>
      </c>
      <c r="BZ26" s="179">
        <f t="shared" si="61"/>
        <v>0.8861591362574337</v>
      </c>
      <c r="CA26" s="6">
        <f t="shared" si="62"/>
        <v>88.615913625743374</v>
      </c>
      <c r="CD26" s="581">
        <f t="shared" si="46"/>
        <v>-50</v>
      </c>
      <c r="CE26">
        <f t="shared" si="47"/>
        <v>-50</v>
      </c>
    </row>
    <row r="27" spans="5:83" x14ac:dyDescent="0.2">
      <c r="E27" s="176">
        <v>22</v>
      </c>
      <c r="F27" s="223">
        <f t="shared" si="48"/>
        <v>2.4199999999999999E-2</v>
      </c>
      <c r="G27" s="223"/>
      <c r="H27" s="223">
        <f t="shared" si="0"/>
        <v>0.58079999999999998</v>
      </c>
      <c r="I27" s="559">
        <f t="shared" si="1"/>
        <v>12</v>
      </c>
      <c r="J27" s="178">
        <f t="shared" si="2"/>
        <v>24.25</v>
      </c>
      <c r="K27" s="454">
        <f t="shared" si="3"/>
        <v>36.25</v>
      </c>
      <c r="L27" s="454"/>
      <c r="M27" s="223">
        <f t="shared" si="4"/>
        <v>0.66896551724137931</v>
      </c>
      <c r="N27" s="178">
        <f t="shared" si="5"/>
        <v>5.528999999999999</v>
      </c>
      <c r="O27" s="178">
        <f t="shared" si="49"/>
        <v>0.58079999999999998</v>
      </c>
      <c r="P27" s="223">
        <f t="shared" si="6"/>
        <v>0.23037499999999997</v>
      </c>
      <c r="Q27" s="223">
        <f t="shared" si="7"/>
        <v>24</v>
      </c>
      <c r="R27" s="223">
        <f t="shared" si="8"/>
        <v>0.24250000000000002</v>
      </c>
      <c r="S27" s="178">
        <f t="shared" si="9"/>
        <v>329.53802237228319</v>
      </c>
      <c r="T27" s="178">
        <f t="shared" si="10"/>
        <v>24</v>
      </c>
      <c r="U27" s="223">
        <f t="shared" si="11"/>
        <v>0.15231687466087901</v>
      </c>
      <c r="V27" s="223">
        <f t="shared" si="12"/>
        <v>0.59657442575510944</v>
      </c>
      <c r="W27" s="223">
        <f t="shared" si="13"/>
        <v>0.29521208697160051</v>
      </c>
      <c r="X27" s="203">
        <f t="shared" si="14"/>
        <v>350</v>
      </c>
      <c r="Y27" s="454">
        <f t="shared" si="50"/>
        <v>350</v>
      </c>
      <c r="AA27" s="223">
        <f t="shared" si="15"/>
        <v>0.48799916151346817</v>
      </c>
      <c r="AB27" s="179">
        <f t="shared" si="16"/>
        <v>0.94581280788177335</v>
      </c>
      <c r="AC27" s="179">
        <f t="shared" si="17"/>
        <v>8.077227500912576E-2</v>
      </c>
      <c r="AD27" s="179"/>
      <c r="AE27" s="179">
        <f t="shared" si="18"/>
        <v>0.56206185567010303</v>
      </c>
      <c r="AF27" s="563">
        <f t="shared" si="63"/>
        <v>296.93627140941641</v>
      </c>
      <c r="AG27" s="546">
        <f t="shared" si="19"/>
        <v>2.8524639175257726E-2</v>
      </c>
      <c r="AI27" s="179">
        <f t="shared" si="20"/>
        <v>0.2740525191175634</v>
      </c>
      <c r="AJ27" s="179">
        <f t="shared" si="21"/>
        <v>0.28999999999999998</v>
      </c>
      <c r="AK27" s="179">
        <f t="shared" si="22"/>
        <v>1.1696778693768093</v>
      </c>
      <c r="AM27" s="563">
        <f t="shared" si="23"/>
        <v>24.2</v>
      </c>
      <c r="AN27" s="472">
        <f t="shared" si="24"/>
        <v>296.93627140941641</v>
      </c>
      <c r="AP27">
        <f t="shared" si="25"/>
        <v>24.2</v>
      </c>
      <c r="AQ27" s="472">
        <f t="shared" si="26"/>
        <v>296.93627140941641</v>
      </c>
      <c r="AR27" s="472"/>
      <c r="AS27" s="6">
        <f t="shared" si="51"/>
        <v>3.3677259947175591</v>
      </c>
      <c r="AT27" s="6">
        <f t="shared" si="27"/>
        <v>1.1358333333333333</v>
      </c>
      <c r="AU27" s="6">
        <f t="shared" si="52"/>
        <v>2.2318926613842258</v>
      </c>
      <c r="AV27" s="6">
        <f t="shared" si="28"/>
        <v>0.56206185567010303</v>
      </c>
      <c r="AW27" s="179">
        <f t="shared" si="53"/>
        <v>0.33727011494252879</v>
      </c>
      <c r="AX27" s="179">
        <f t="shared" si="29"/>
        <v>0.58684999999999998</v>
      </c>
      <c r="AY27" s="179">
        <f t="shared" si="30"/>
        <v>9.6095833333333325E-2</v>
      </c>
      <c r="AZ27" s="179">
        <f t="shared" si="54"/>
        <v>6.1069245111217105</v>
      </c>
      <c r="BA27" s="472">
        <f t="shared" si="31"/>
        <v>0.1145298611111111</v>
      </c>
      <c r="BB27" s="6">
        <f t="shared" si="32"/>
        <v>0.18951509615964302</v>
      </c>
      <c r="BC27" s="6"/>
      <c r="BD27" s="179">
        <f t="shared" si="55"/>
        <v>9.7235824445291538E-2</v>
      </c>
      <c r="BE27" s="179">
        <f t="shared" si="33"/>
        <v>0.13630307325140462</v>
      </c>
      <c r="BF27" s="179"/>
      <c r="BG27" s="546">
        <f t="shared" si="34"/>
        <v>3.3091819444444441E-3</v>
      </c>
      <c r="BH27" s="546">
        <f t="shared" si="35"/>
        <v>2.3411569148936173E-2</v>
      </c>
      <c r="BI27" s="546">
        <f t="shared" si="36"/>
        <v>3.7117033926177046E-3</v>
      </c>
      <c r="BJ27" s="546">
        <f t="shared" si="37"/>
        <v>1.9509640957446815E-2</v>
      </c>
      <c r="BK27">
        <f t="shared" si="38"/>
        <v>3.48E-3</v>
      </c>
      <c r="BL27" s="546">
        <f t="shared" si="39"/>
        <v>5.3483421221285125E-2</v>
      </c>
      <c r="BM27" s="472">
        <f t="shared" si="56"/>
        <v>53.483421221285127</v>
      </c>
      <c r="BN27" s="546">
        <f t="shared" si="40"/>
        <v>7.2599999999999991E-3</v>
      </c>
      <c r="BO27" s="546"/>
      <c r="BQ27" s="472">
        <f t="shared" si="57"/>
        <v>7.2599999999999989</v>
      </c>
      <c r="BR27" s="546">
        <f t="shared" si="41"/>
        <v>1.890961111111111E-3</v>
      </c>
      <c r="BS27" s="546">
        <f t="shared" si="42"/>
        <v>3.7157055555555548E-3</v>
      </c>
      <c r="BT27" s="546">
        <f t="shared" si="43"/>
        <v>3.4405123902865853E-3</v>
      </c>
      <c r="BU27" s="546">
        <f t="shared" si="44"/>
        <v>9.0512388392806307E-3</v>
      </c>
      <c r="BV27" s="546">
        <f t="shared" si="45"/>
        <v>4.6198829787234058E-3</v>
      </c>
      <c r="BW27" s="472">
        <f t="shared" si="58"/>
        <v>13.671121818004037</v>
      </c>
      <c r="BX27" s="179">
        <f t="shared" si="59"/>
        <v>7.4414543039289155E-2</v>
      </c>
      <c r="BY27" s="6">
        <f t="shared" si="60"/>
        <v>0.58079999999999998</v>
      </c>
      <c r="BZ27" s="179">
        <f t="shared" si="61"/>
        <v>0.88642721101074984</v>
      </c>
      <c r="CA27" s="6">
        <f t="shared" si="62"/>
        <v>88.642721101074983</v>
      </c>
      <c r="CD27" s="581">
        <f t="shared" si="46"/>
        <v>-50</v>
      </c>
      <c r="CE27">
        <f t="shared" si="47"/>
        <v>-50</v>
      </c>
    </row>
    <row r="28" spans="5:83" x14ac:dyDescent="0.2">
      <c r="E28" s="176">
        <v>23</v>
      </c>
      <c r="F28" s="223">
        <f t="shared" si="48"/>
        <v>2.53E-2</v>
      </c>
      <c r="G28" s="223"/>
      <c r="H28" s="223">
        <f t="shared" si="0"/>
        <v>0.60719999999999996</v>
      </c>
      <c r="I28" s="559">
        <f t="shared" si="1"/>
        <v>12</v>
      </c>
      <c r="J28" s="178">
        <f t="shared" si="2"/>
        <v>24.25</v>
      </c>
      <c r="K28" s="454">
        <f t="shared" si="3"/>
        <v>36.25</v>
      </c>
      <c r="L28" s="454"/>
      <c r="M28" s="223">
        <f t="shared" si="4"/>
        <v>0.66896551724137931</v>
      </c>
      <c r="N28" s="178">
        <f t="shared" si="5"/>
        <v>5.528999999999999</v>
      </c>
      <c r="O28" s="178">
        <f t="shared" si="49"/>
        <v>0.60719999999999996</v>
      </c>
      <c r="P28" s="223">
        <f t="shared" si="6"/>
        <v>0.23037499999999997</v>
      </c>
      <c r="Q28" s="223">
        <f t="shared" si="7"/>
        <v>24</v>
      </c>
      <c r="R28" s="223">
        <f t="shared" si="8"/>
        <v>0.24250000000000002</v>
      </c>
      <c r="S28" s="178">
        <f t="shared" si="9"/>
        <v>314.68936754029085</v>
      </c>
      <c r="T28" s="178">
        <f t="shared" si="10"/>
        <v>24</v>
      </c>
      <c r="U28" s="223">
        <f t="shared" si="11"/>
        <v>0.15924036896364624</v>
      </c>
      <c r="V28" s="223">
        <f t="shared" si="12"/>
        <v>0.62369144510761443</v>
      </c>
      <c r="W28" s="223">
        <f t="shared" si="13"/>
        <v>0.30863081819758237</v>
      </c>
      <c r="X28" s="203">
        <f t="shared" si="14"/>
        <v>350</v>
      </c>
      <c r="Y28" s="454">
        <f t="shared" si="50"/>
        <v>350</v>
      </c>
      <c r="AA28" s="223">
        <f t="shared" si="15"/>
        <v>0.48799916151346817</v>
      </c>
      <c r="AB28" s="179">
        <f t="shared" si="16"/>
        <v>0.94581280788177335</v>
      </c>
      <c r="AC28" s="179">
        <f t="shared" si="17"/>
        <v>8.077227500912576E-2</v>
      </c>
      <c r="AD28" s="179"/>
      <c r="AE28" s="179">
        <f t="shared" si="18"/>
        <v>0.56206185567010303</v>
      </c>
      <c r="AF28" s="563">
        <f t="shared" si="63"/>
        <v>310.43337465529896</v>
      </c>
      <c r="AG28" s="546">
        <f t="shared" si="19"/>
        <v>2.8524639175257726E-2</v>
      </c>
      <c r="AI28" s="179">
        <f t="shared" si="20"/>
        <v>0.28021177173358924</v>
      </c>
      <c r="AJ28" s="179">
        <f t="shared" si="21"/>
        <v>0.28999999999999998</v>
      </c>
      <c r="AK28" s="179">
        <f t="shared" si="22"/>
        <v>1.177390499803028</v>
      </c>
      <c r="AM28" s="563">
        <f t="shared" si="23"/>
        <v>25.3</v>
      </c>
      <c r="AN28" s="472">
        <f t="shared" si="24"/>
        <v>310.43337465529896</v>
      </c>
      <c r="AP28">
        <f t="shared" si="25"/>
        <v>25.3</v>
      </c>
      <c r="AQ28" s="472">
        <f t="shared" si="26"/>
        <v>310.43337465529896</v>
      </c>
      <c r="AR28" s="472"/>
      <c r="AS28" s="6">
        <f t="shared" si="51"/>
        <v>3.2213031253820135</v>
      </c>
      <c r="AT28" s="6">
        <f t="shared" si="27"/>
        <v>1.1358333333333333</v>
      </c>
      <c r="AU28" s="6">
        <f t="shared" si="52"/>
        <v>2.0854697920486802</v>
      </c>
      <c r="AV28" s="6">
        <f t="shared" si="28"/>
        <v>0.56206185567010303</v>
      </c>
      <c r="AW28" s="179">
        <f t="shared" si="53"/>
        <v>0.35260057471264367</v>
      </c>
      <c r="AX28" s="179">
        <f t="shared" si="29"/>
        <v>0.61352499999999999</v>
      </c>
      <c r="AY28" s="179">
        <f t="shared" si="30"/>
        <v>9.3872916666666653E-2</v>
      </c>
      <c r="AZ28" s="179">
        <f t="shared" si="54"/>
        <v>6.5356976408708594</v>
      </c>
      <c r="BA28" s="472">
        <f t="shared" si="31"/>
        <v>0.11973576388888887</v>
      </c>
      <c r="BB28" s="6">
        <f t="shared" si="32"/>
        <v>0.18513117803098811</v>
      </c>
      <c r="BC28" s="6"/>
      <c r="BD28" s="179">
        <f t="shared" si="55"/>
        <v>9.9421172013029704E-2</v>
      </c>
      <c r="BE28" s="179">
        <f t="shared" si="33"/>
        <v>0.13471734813634392</v>
      </c>
      <c r="BF28" s="179"/>
      <c r="BG28" s="546">
        <f t="shared" si="34"/>
        <v>3.4595993055555538E-3</v>
      </c>
      <c r="BH28" s="546">
        <f t="shared" si="35"/>
        <v>2.4475731382978726E-2</v>
      </c>
      <c r="BI28" s="546">
        <f t="shared" si="36"/>
        <v>3.8804171831912366E-3</v>
      </c>
      <c r="BJ28" s="546">
        <f t="shared" si="37"/>
        <v>2.0396442819148944E-2</v>
      </c>
      <c r="BK28">
        <f t="shared" si="38"/>
        <v>3.48E-3</v>
      </c>
      <c r="BL28" s="546">
        <f t="shared" si="39"/>
        <v>5.5759031895004217E-2</v>
      </c>
      <c r="BM28" s="472">
        <f t="shared" si="56"/>
        <v>55.75903189500422</v>
      </c>
      <c r="BN28" s="546">
        <f t="shared" si="40"/>
        <v>7.5899999999999995E-3</v>
      </c>
      <c r="BO28" s="546"/>
      <c r="BQ28" s="472">
        <f t="shared" si="57"/>
        <v>7.59</v>
      </c>
      <c r="BR28" s="546">
        <f t="shared" si="41"/>
        <v>1.9769138888888881E-3</v>
      </c>
      <c r="BS28" s="546">
        <f t="shared" si="42"/>
        <v>3.6297527777777779E-3</v>
      </c>
      <c r="BT28" s="546">
        <f t="shared" si="43"/>
        <v>3.8449085455611724E-3</v>
      </c>
      <c r="BU28" s="546">
        <f t="shared" si="44"/>
        <v>9.4558164611045249E-3</v>
      </c>
      <c r="BV28" s="546">
        <f t="shared" si="45"/>
        <v>4.8298776595744695E-3</v>
      </c>
      <c r="BW28" s="472">
        <f t="shared" si="58"/>
        <v>14.285694120678995</v>
      </c>
      <c r="BX28" s="179">
        <f t="shared" si="59"/>
        <v>7.7634726015683206E-2</v>
      </c>
      <c r="BY28" s="6">
        <f t="shared" si="60"/>
        <v>0.60719999999999996</v>
      </c>
      <c r="BZ28" s="179">
        <f t="shared" si="61"/>
        <v>0.88663728186309099</v>
      </c>
      <c r="CA28" s="6">
        <f t="shared" si="62"/>
        <v>88.6637281863091</v>
      </c>
      <c r="CD28" s="581">
        <f t="shared" si="46"/>
        <v>-50</v>
      </c>
      <c r="CE28">
        <f t="shared" si="47"/>
        <v>-50</v>
      </c>
    </row>
    <row r="29" spans="5:83" x14ac:dyDescent="0.2">
      <c r="E29" s="176">
        <v>24</v>
      </c>
      <c r="F29" s="223">
        <f t="shared" si="48"/>
        <v>2.64E-2</v>
      </c>
      <c r="G29" s="223"/>
      <c r="H29" s="223">
        <f t="shared" si="0"/>
        <v>0.63359999999999994</v>
      </c>
      <c r="I29" s="559">
        <f t="shared" si="1"/>
        <v>12</v>
      </c>
      <c r="J29" s="178">
        <f t="shared" si="2"/>
        <v>24.25</v>
      </c>
      <c r="K29" s="454">
        <f t="shared" si="3"/>
        <v>36.25</v>
      </c>
      <c r="L29" s="454"/>
      <c r="M29" s="223">
        <f t="shared" si="4"/>
        <v>0.66896551724137931</v>
      </c>
      <c r="N29" s="178">
        <f t="shared" si="5"/>
        <v>5.528999999999999</v>
      </c>
      <c r="O29" s="178">
        <f t="shared" si="49"/>
        <v>0.63359999999999994</v>
      </c>
      <c r="P29" s="223">
        <f t="shared" si="6"/>
        <v>0.23037499999999997</v>
      </c>
      <c r="Q29" s="223">
        <f t="shared" si="7"/>
        <v>24</v>
      </c>
      <c r="R29" s="223">
        <f t="shared" si="8"/>
        <v>0.24250000000000002</v>
      </c>
      <c r="S29" s="178">
        <f t="shared" si="9"/>
        <v>301.07813774205437</v>
      </c>
      <c r="T29" s="178">
        <f t="shared" si="10"/>
        <v>24</v>
      </c>
      <c r="U29" s="223">
        <f t="shared" si="11"/>
        <v>0.16616386326641347</v>
      </c>
      <c r="V29" s="223">
        <f t="shared" si="12"/>
        <v>0.65080846446011942</v>
      </c>
      <c r="W29" s="223">
        <f t="shared" si="13"/>
        <v>0.32204954942356423</v>
      </c>
      <c r="X29" s="203">
        <f t="shared" si="14"/>
        <v>350</v>
      </c>
      <c r="Y29" s="454">
        <f t="shared" si="50"/>
        <v>350</v>
      </c>
      <c r="AA29" s="223">
        <f t="shared" si="15"/>
        <v>0.48799916151346817</v>
      </c>
      <c r="AB29" s="179">
        <f t="shared" si="16"/>
        <v>0.94581280788177335</v>
      </c>
      <c r="AC29" s="179">
        <f t="shared" si="17"/>
        <v>8.077227500912576E-2</v>
      </c>
      <c r="AD29" s="179"/>
      <c r="AE29" s="179">
        <f t="shared" si="18"/>
        <v>0.56206185567010303</v>
      </c>
      <c r="AF29" s="563">
        <f t="shared" si="63"/>
        <v>323.93047790118158</v>
      </c>
      <c r="AG29" s="546">
        <f t="shared" si="19"/>
        <v>2.8524639175257726E-2</v>
      </c>
      <c r="AI29" s="179">
        <f t="shared" si="20"/>
        <v>0.28623852082043705</v>
      </c>
      <c r="AJ29" s="179">
        <f t="shared" si="21"/>
        <v>0.28999999999999998</v>
      </c>
      <c r="AK29" s="179">
        <f t="shared" si="22"/>
        <v>1.1851031302292467</v>
      </c>
      <c r="AM29" s="563">
        <f t="shared" si="23"/>
        <v>26.4</v>
      </c>
      <c r="AN29" s="472">
        <f t="shared" si="24"/>
        <v>323.93047790118158</v>
      </c>
      <c r="AP29">
        <f t="shared" si="25"/>
        <v>26.4</v>
      </c>
      <c r="AQ29" s="472">
        <f t="shared" si="26"/>
        <v>323.93047790118158</v>
      </c>
      <c r="AR29" s="472"/>
      <c r="AS29" s="6">
        <f t="shared" si="51"/>
        <v>3.0870821618244291</v>
      </c>
      <c r="AT29" s="6">
        <f t="shared" si="27"/>
        <v>1.1358333333333333</v>
      </c>
      <c r="AU29" s="6">
        <f t="shared" si="52"/>
        <v>1.9512488284910958</v>
      </c>
      <c r="AV29" s="6">
        <f t="shared" si="28"/>
        <v>0.56206185567010303</v>
      </c>
      <c r="AW29" s="179">
        <f t="shared" si="53"/>
        <v>0.36793103448275871</v>
      </c>
      <c r="AX29" s="179">
        <f t="shared" si="29"/>
        <v>0.64020000000000021</v>
      </c>
      <c r="AY29" s="179">
        <f t="shared" si="30"/>
        <v>9.1649999999999995E-2</v>
      </c>
      <c r="AZ29" s="179">
        <f t="shared" si="54"/>
        <v>6.9852700490998387</v>
      </c>
      <c r="BA29" s="472">
        <f t="shared" si="31"/>
        <v>0.12494166666666666</v>
      </c>
      <c r="BB29" s="6">
        <f t="shared" si="32"/>
        <v>0.18074725990233306</v>
      </c>
      <c r="BC29" s="6"/>
      <c r="BD29" s="179">
        <f t="shared" si="55"/>
        <v>0.10155950636613656</v>
      </c>
      <c r="BE29" s="179">
        <f t="shared" si="33"/>
        <v>0.13311273417671202</v>
      </c>
      <c r="BF29" s="179"/>
      <c r="BG29" s="546">
        <f t="shared" si="34"/>
        <v>3.6100166666666656E-3</v>
      </c>
      <c r="BH29" s="546">
        <f t="shared" si="35"/>
        <v>2.5539893617021282E-2</v>
      </c>
      <c r="BI29" s="546">
        <f t="shared" si="36"/>
        <v>4.0491309737647691E-3</v>
      </c>
      <c r="BJ29" s="546">
        <f t="shared" si="37"/>
        <v>2.1283244680851073E-2</v>
      </c>
      <c r="BK29">
        <f t="shared" si="38"/>
        <v>3.48E-3</v>
      </c>
      <c r="BL29" s="546">
        <f t="shared" si="39"/>
        <v>5.8034880073718632E-2</v>
      </c>
      <c r="BM29" s="472">
        <f t="shared" si="56"/>
        <v>58.034880073718632</v>
      </c>
      <c r="BN29" s="546">
        <f t="shared" si="40"/>
        <v>7.92E-3</v>
      </c>
      <c r="BO29" s="546"/>
      <c r="BQ29" s="472">
        <f t="shared" si="57"/>
        <v>7.92</v>
      </c>
      <c r="BR29" s="546">
        <f t="shared" si="41"/>
        <v>2.0628666666666663E-3</v>
      </c>
      <c r="BS29" s="546">
        <f t="shared" si="42"/>
        <v>3.5437999999999993E-3</v>
      </c>
      <c r="BT29" s="546">
        <f t="shared" si="43"/>
        <v>4.2765595951248609E-3</v>
      </c>
      <c r="BU29" s="546">
        <f t="shared" si="44"/>
        <v>9.8876612074317669E-3</v>
      </c>
      <c r="BV29" s="546">
        <f t="shared" si="45"/>
        <v>5.039872340425534E-3</v>
      </c>
      <c r="BW29" s="472">
        <f t="shared" si="58"/>
        <v>14.927533547857301</v>
      </c>
      <c r="BX29" s="179">
        <f t="shared" si="59"/>
        <v>8.0882413621575944E-2</v>
      </c>
      <c r="BY29" s="6">
        <f t="shared" si="60"/>
        <v>0.63359999999999994</v>
      </c>
      <c r="BZ29" s="179">
        <f t="shared" si="61"/>
        <v>0.88679579499851036</v>
      </c>
      <c r="CA29" s="6">
        <f t="shared" si="62"/>
        <v>88.67957949985103</v>
      </c>
      <c r="CD29" s="581">
        <f t="shared" si="46"/>
        <v>-50</v>
      </c>
      <c r="CE29">
        <f t="shared" si="47"/>
        <v>-50</v>
      </c>
    </row>
    <row r="30" spans="5:83" x14ac:dyDescent="0.2">
      <c r="E30" s="176">
        <v>25</v>
      </c>
      <c r="F30" s="223">
        <f t="shared" si="48"/>
        <v>2.75E-2</v>
      </c>
      <c r="G30" s="223"/>
      <c r="H30" s="223">
        <f t="shared" si="0"/>
        <v>0.66</v>
      </c>
      <c r="I30" s="559">
        <f t="shared" si="1"/>
        <v>12</v>
      </c>
      <c r="J30" s="178">
        <f t="shared" si="2"/>
        <v>24.25</v>
      </c>
      <c r="K30" s="454">
        <f t="shared" si="3"/>
        <v>36.25</v>
      </c>
      <c r="L30" s="454"/>
      <c r="M30" s="223">
        <f t="shared" si="4"/>
        <v>0.66896551724137931</v>
      </c>
      <c r="N30" s="178">
        <f t="shared" si="5"/>
        <v>5.528999999999999</v>
      </c>
      <c r="O30" s="178">
        <f t="shared" si="49"/>
        <v>0.66</v>
      </c>
      <c r="P30" s="223">
        <f t="shared" si="6"/>
        <v>0.23037499999999997</v>
      </c>
      <c r="Q30" s="223">
        <f t="shared" si="7"/>
        <v>24</v>
      </c>
      <c r="R30" s="223">
        <f t="shared" si="8"/>
        <v>0.24250000000000002</v>
      </c>
      <c r="S30" s="178">
        <f t="shared" si="9"/>
        <v>288.55584214695767</v>
      </c>
      <c r="T30" s="178">
        <f t="shared" si="10"/>
        <v>24</v>
      </c>
      <c r="U30" s="223">
        <f t="shared" si="11"/>
        <v>0.1730873575691807</v>
      </c>
      <c r="V30" s="223">
        <f t="shared" si="12"/>
        <v>0.67792548381262441</v>
      </c>
      <c r="W30" s="223">
        <f t="shared" si="13"/>
        <v>0.33546828064954609</v>
      </c>
      <c r="X30" s="203">
        <f t="shared" si="14"/>
        <v>350</v>
      </c>
      <c r="Y30" s="454">
        <f t="shared" si="50"/>
        <v>350</v>
      </c>
      <c r="AA30" s="223">
        <f t="shared" si="15"/>
        <v>0.48799916151346817</v>
      </c>
      <c r="AB30" s="179">
        <f t="shared" si="16"/>
        <v>0.94581280788177335</v>
      </c>
      <c r="AC30" s="179">
        <f t="shared" si="17"/>
        <v>8.077227500912576E-2</v>
      </c>
      <c r="AD30" s="179"/>
      <c r="AE30" s="179">
        <f t="shared" si="18"/>
        <v>0.56206185567010303</v>
      </c>
      <c r="AF30" s="563">
        <f t="shared" si="63"/>
        <v>337.42758114706413</v>
      </c>
      <c r="AG30" s="546">
        <f t="shared" si="19"/>
        <v>2.8524639175257726E-2</v>
      </c>
      <c r="AI30" s="179">
        <f t="shared" si="20"/>
        <v>0.29214096697462072</v>
      </c>
      <c r="AJ30" s="179">
        <f t="shared" si="21"/>
        <v>0.29214096697462072</v>
      </c>
      <c r="AK30" s="179">
        <f t="shared" si="22"/>
        <v>1.1928157606554652</v>
      </c>
      <c r="AM30" s="563">
        <f t="shared" si="23"/>
        <v>27.5</v>
      </c>
      <c r="AN30" s="472">
        <f t="shared" si="24"/>
        <v>337.42758114706413</v>
      </c>
      <c r="AP30">
        <f t="shared" si="25"/>
        <v>27.5</v>
      </c>
      <c r="AQ30" s="472">
        <f t="shared" si="26"/>
        <v>337.42758114706413</v>
      </c>
      <c r="AR30" s="472"/>
      <c r="AS30" s="6">
        <f t="shared" si="51"/>
        <v>2.9635988753514519</v>
      </c>
      <c r="AT30" s="6">
        <f t="shared" si="27"/>
        <v>1.1442187873172645</v>
      </c>
      <c r="AU30" s="6">
        <f t="shared" si="52"/>
        <v>1.8193800880341875</v>
      </c>
      <c r="AV30" s="6">
        <f t="shared" si="28"/>
        <v>0.56621135867246075</v>
      </c>
      <c r="AW30" s="179">
        <f t="shared" si="53"/>
        <v>0.38609097770749157</v>
      </c>
      <c r="AX30" s="179">
        <f t="shared" si="29"/>
        <v>0.67675794940585998</v>
      </c>
      <c r="AY30" s="179">
        <f t="shared" si="30"/>
        <v>8.9673987703488695E-2</v>
      </c>
      <c r="AZ30" s="179">
        <f t="shared" si="54"/>
        <v>7.5468702433931272</v>
      </c>
      <c r="BA30" s="472">
        <f t="shared" si="31"/>
        <v>0.13110840271343654</v>
      </c>
      <c r="BB30" s="6">
        <f t="shared" si="32"/>
        <v>0.17555421902084264</v>
      </c>
      <c r="BC30" s="6"/>
      <c r="BD30" s="179">
        <f t="shared" si="55"/>
        <v>0.10480371116923223</v>
      </c>
      <c r="BE30" s="179">
        <f t="shared" si="33"/>
        <v>0.1321550742629467</v>
      </c>
      <c r="BF30" s="179"/>
      <c r="BG30" s="546">
        <f t="shared" si="34"/>
        <v>3.8443362561953486E-3</v>
      </c>
      <c r="BH30" s="546">
        <f t="shared" si="35"/>
        <v>2.6800464144057259E-2</v>
      </c>
      <c r="BI30" s="546">
        <f t="shared" si="36"/>
        <v>4.2178447643383011E-3</v>
      </c>
      <c r="BJ30" s="546">
        <f t="shared" si="37"/>
        <v>2.2170046542553199E-2</v>
      </c>
      <c r="BK30">
        <f t="shared" si="38"/>
        <v>3.48E-3</v>
      </c>
      <c r="BL30" s="546">
        <f t="shared" si="39"/>
        <v>6.0593405911680213E-2</v>
      </c>
      <c r="BM30" s="472">
        <f t="shared" si="56"/>
        <v>60.593405911680215</v>
      </c>
      <c r="BN30" s="546">
        <f t="shared" si="40"/>
        <v>8.2500000000000004E-3</v>
      </c>
      <c r="BO30" s="546"/>
      <c r="BQ30" s="472">
        <f t="shared" si="57"/>
        <v>8.25</v>
      </c>
      <c r="BR30" s="546">
        <f t="shared" si="41"/>
        <v>2.196763574968771E-3</v>
      </c>
      <c r="BS30" s="546">
        <f t="shared" si="42"/>
        <v>3.4929927306889918E-3</v>
      </c>
      <c r="BT30" s="546">
        <f t="shared" si="43"/>
        <v>4.8239478833500956E-3</v>
      </c>
      <c r="BU30" s="546">
        <f t="shared" si="44"/>
        <v>1.0518492001503184E-2</v>
      </c>
      <c r="BV30" s="546">
        <f t="shared" si="45"/>
        <v>5.3276689634078342E-3</v>
      </c>
      <c r="BW30" s="472">
        <f t="shared" si="58"/>
        <v>15.846160964911018</v>
      </c>
      <c r="BX30" s="179">
        <f t="shared" si="59"/>
        <v>8.4689566876591238E-2</v>
      </c>
      <c r="BY30" s="6">
        <f t="shared" si="60"/>
        <v>0.66</v>
      </c>
      <c r="BZ30" s="179">
        <f t="shared" si="61"/>
        <v>0.88627534123809493</v>
      </c>
      <c r="CA30" s="6">
        <f t="shared" si="62"/>
        <v>88.627534123809497</v>
      </c>
      <c r="CD30" s="581">
        <f t="shared" si="46"/>
        <v>-50</v>
      </c>
      <c r="CE30">
        <f t="shared" si="47"/>
        <v>-50</v>
      </c>
    </row>
    <row r="31" spans="5:83" x14ac:dyDescent="0.2">
      <c r="E31" s="176">
        <v>26</v>
      </c>
      <c r="F31" s="223">
        <f t="shared" si="48"/>
        <v>2.86E-2</v>
      </c>
      <c r="G31" s="223"/>
      <c r="H31" s="223">
        <f t="shared" si="0"/>
        <v>0.68640000000000001</v>
      </c>
      <c r="I31" s="559">
        <f t="shared" si="1"/>
        <v>12</v>
      </c>
      <c r="J31" s="178">
        <f t="shared" si="2"/>
        <v>24.25</v>
      </c>
      <c r="K31" s="454">
        <f t="shared" si="3"/>
        <v>36.25</v>
      </c>
      <c r="L31" s="454"/>
      <c r="M31" s="223">
        <f t="shared" si="4"/>
        <v>0.66896551724137931</v>
      </c>
      <c r="N31" s="178">
        <f t="shared" si="5"/>
        <v>5.528999999999999</v>
      </c>
      <c r="O31" s="178">
        <f t="shared" si="49"/>
        <v>0.68640000000000001</v>
      </c>
      <c r="P31" s="223">
        <f t="shared" si="6"/>
        <v>0.23037499999999997</v>
      </c>
      <c r="Q31" s="223">
        <f t="shared" si="7"/>
        <v>24</v>
      </c>
      <c r="R31" s="223">
        <f t="shared" si="8"/>
        <v>0.24250000000000002</v>
      </c>
      <c r="S31" s="178">
        <f t="shared" si="9"/>
        <v>276.99683466861467</v>
      </c>
      <c r="T31" s="178">
        <f t="shared" si="10"/>
        <v>24</v>
      </c>
      <c r="U31" s="223">
        <f t="shared" si="11"/>
        <v>0.18001085187194793</v>
      </c>
      <c r="V31" s="223">
        <f t="shared" si="12"/>
        <v>0.70504250316512929</v>
      </c>
      <c r="W31" s="223">
        <f t="shared" si="13"/>
        <v>0.34888701187552795</v>
      </c>
      <c r="X31" s="203">
        <f t="shared" si="14"/>
        <v>350</v>
      </c>
      <c r="Y31" s="454">
        <f t="shared" si="50"/>
        <v>350</v>
      </c>
      <c r="AA31" s="223">
        <f t="shared" si="15"/>
        <v>0.48799916151346817</v>
      </c>
      <c r="AB31" s="179">
        <f t="shared" si="16"/>
        <v>0.94581280788177335</v>
      </c>
      <c r="AC31" s="179">
        <f t="shared" si="17"/>
        <v>8.077227500912576E-2</v>
      </c>
      <c r="AD31" s="179"/>
      <c r="AE31" s="179">
        <f t="shared" si="18"/>
        <v>0.56206185567010303</v>
      </c>
      <c r="AF31" s="563">
        <f t="shared" si="63"/>
        <v>350.92468439294663</v>
      </c>
      <c r="AG31" s="546">
        <f t="shared" si="19"/>
        <v>2.8524639175257726E-2</v>
      </c>
      <c r="AI31" s="179">
        <f t="shared" si="20"/>
        <v>0.29792649826469131</v>
      </c>
      <c r="AJ31" s="179">
        <f t="shared" si="21"/>
        <v>0.29792649826469131</v>
      </c>
      <c r="AK31" s="179">
        <f t="shared" si="22"/>
        <v>1.2058714801960677</v>
      </c>
      <c r="AM31" s="563">
        <f t="shared" si="23"/>
        <v>28.6</v>
      </c>
      <c r="AN31" s="472">
        <f t="shared" si="24"/>
        <v>350</v>
      </c>
      <c r="AP31">
        <f t="shared" si="25"/>
        <v>28.6</v>
      </c>
      <c r="AQ31" s="472">
        <f t="shared" si="26"/>
        <v>350</v>
      </c>
      <c r="AR31" s="472"/>
      <c r="AS31" s="6">
        <f t="shared" si="51"/>
        <v>2.8571428571428572</v>
      </c>
      <c r="AT31" s="6">
        <f t="shared" si="27"/>
        <v>1.166878784870041</v>
      </c>
      <c r="AU31" s="6">
        <f t="shared" si="52"/>
        <v>1.6902640722728162</v>
      </c>
      <c r="AV31" s="6">
        <f t="shared" si="28"/>
        <v>0.57742455333775222</v>
      </c>
      <c r="AW31" s="179">
        <f t="shared" si="53"/>
        <v>0.40840757470451433</v>
      </c>
      <c r="AX31" s="179">
        <f t="shared" si="29"/>
        <v>0.73005263157894773</v>
      </c>
      <c r="AY31" s="179">
        <f t="shared" si="30"/>
        <v>8.8125529834100005E-2</v>
      </c>
      <c r="AZ31" s="179">
        <f t="shared" si="54"/>
        <v>8.2842353737140915</v>
      </c>
      <c r="BA31" s="472">
        <f t="shared" si="31"/>
        <v>0.13905305519701322</v>
      </c>
      <c r="BB31" s="6">
        <f t="shared" si="32"/>
        <v>0.16961948234035976</v>
      </c>
      <c r="BC31" s="6"/>
      <c r="BD31" s="179">
        <f t="shared" si="55"/>
        <v>0.10992472780024386</v>
      </c>
      <c r="BE31" s="179">
        <f t="shared" si="33"/>
        <v>0.1322999886903346</v>
      </c>
      <c r="BF31" s="179"/>
      <c r="BG31" s="546">
        <f t="shared" si="34"/>
        <v>4.2292060236851963E-3</v>
      </c>
      <c r="BH31" s="546">
        <f t="shared" si="35"/>
        <v>2.8349568350499531E-2</v>
      </c>
      <c r="BI31" s="546">
        <f t="shared" si="36"/>
        <v>4.3749999999999995E-3</v>
      </c>
      <c r="BJ31" s="546">
        <f t="shared" si="37"/>
        <v>2.2996093750000002E-2</v>
      </c>
      <c r="BK31">
        <f t="shared" si="38"/>
        <v>3.48E-3</v>
      </c>
      <c r="BL31" s="546">
        <f t="shared" si="39"/>
        <v>6.3522955927094449E-2</v>
      </c>
      <c r="BM31" s="472">
        <f t="shared" si="56"/>
        <v>63.522955927094451</v>
      </c>
      <c r="BN31" s="546">
        <f t="shared" si="40"/>
        <v>8.5799999999999991E-3</v>
      </c>
      <c r="BO31" s="546"/>
      <c r="BQ31" s="472">
        <f t="shared" si="57"/>
        <v>8.5799999999999983</v>
      </c>
      <c r="BR31" s="546">
        <f t="shared" si="41"/>
        <v>2.4166891563915413E-3</v>
      </c>
      <c r="BS31" s="546">
        <f t="shared" si="42"/>
        <v>3.5006574014925331E-3</v>
      </c>
      <c r="BT31" s="546">
        <f t="shared" si="43"/>
        <v>5.5515332514441034E-3</v>
      </c>
      <c r="BU31" s="546">
        <f t="shared" si="44"/>
        <v>1.1474311607591801E-2</v>
      </c>
      <c r="BV31" s="546">
        <f t="shared" si="45"/>
        <v>5.7472228443449071E-3</v>
      </c>
      <c r="BW31" s="472">
        <f t="shared" si="58"/>
        <v>17.221534451936709</v>
      </c>
      <c r="BX31" s="179">
        <f t="shared" si="59"/>
        <v>8.932449037903116E-2</v>
      </c>
      <c r="BY31" s="6">
        <f t="shared" si="60"/>
        <v>0.68640000000000001</v>
      </c>
      <c r="BZ31" s="179">
        <f t="shared" si="61"/>
        <v>0.88485023808467644</v>
      </c>
      <c r="CA31" s="6">
        <f t="shared" si="62"/>
        <v>88.485023808467645</v>
      </c>
      <c r="CD31" s="581">
        <f t="shared" si="46"/>
        <v>-50</v>
      </c>
      <c r="CE31">
        <f t="shared" si="47"/>
        <v>-50</v>
      </c>
    </row>
    <row r="32" spans="5:83" x14ac:dyDescent="0.2">
      <c r="E32" s="176">
        <v>27</v>
      </c>
      <c r="F32" s="223">
        <f t="shared" si="48"/>
        <v>2.9700000000000001E-2</v>
      </c>
      <c r="G32" s="223"/>
      <c r="H32" s="223">
        <f t="shared" si="0"/>
        <v>0.71279999999999999</v>
      </c>
      <c r="I32" s="559">
        <f t="shared" si="1"/>
        <v>12</v>
      </c>
      <c r="J32" s="178">
        <f t="shared" si="2"/>
        <v>24.25</v>
      </c>
      <c r="K32" s="454">
        <f t="shared" si="3"/>
        <v>36.25</v>
      </c>
      <c r="L32" s="454"/>
      <c r="M32" s="223">
        <f t="shared" si="4"/>
        <v>0.66896551724137931</v>
      </c>
      <c r="N32" s="178">
        <f t="shared" si="5"/>
        <v>5.528999999999999</v>
      </c>
      <c r="O32" s="178">
        <f t="shared" si="49"/>
        <v>0.71279999999999999</v>
      </c>
      <c r="P32" s="223">
        <f t="shared" si="6"/>
        <v>0.23037499999999997</v>
      </c>
      <c r="Q32" s="223">
        <f t="shared" si="7"/>
        <v>24</v>
      </c>
      <c r="R32" s="223">
        <f t="shared" si="8"/>
        <v>0.24250000000000002</v>
      </c>
      <c r="S32" s="178">
        <f t="shared" si="9"/>
        <v>266.29408345668571</v>
      </c>
      <c r="T32" s="178">
        <f t="shared" si="10"/>
        <v>24</v>
      </c>
      <c r="U32" s="223">
        <f t="shared" si="11"/>
        <v>0.18693434617471516</v>
      </c>
      <c r="V32" s="223">
        <f t="shared" si="12"/>
        <v>0.73215952251763428</v>
      </c>
      <c r="W32" s="223">
        <f t="shared" si="13"/>
        <v>0.36230574310150976</v>
      </c>
      <c r="X32" s="203">
        <f t="shared" si="14"/>
        <v>350</v>
      </c>
      <c r="Y32" s="454">
        <f t="shared" si="50"/>
        <v>350</v>
      </c>
      <c r="AA32" s="223">
        <f t="shared" si="15"/>
        <v>0.48799916151346817</v>
      </c>
      <c r="AB32" s="179">
        <f t="shared" si="16"/>
        <v>0.94581280788177335</v>
      </c>
      <c r="AC32" s="179">
        <f t="shared" si="17"/>
        <v>8.077227500912576E-2</v>
      </c>
      <c r="AD32" s="179"/>
      <c r="AE32" s="179">
        <f t="shared" si="18"/>
        <v>0.56206185567010303</v>
      </c>
      <c r="AF32" s="563">
        <f t="shared" si="63"/>
        <v>364.42178763882924</v>
      </c>
      <c r="AG32" s="546">
        <f t="shared" si="19"/>
        <v>2.8524639175257726E-2</v>
      </c>
      <c r="AI32" s="179">
        <f t="shared" si="20"/>
        <v>0.30360179866340675</v>
      </c>
      <c r="AJ32" s="179">
        <f t="shared" si="21"/>
        <v>0.30360179866340675</v>
      </c>
      <c r="AK32" s="179">
        <f t="shared" si="22"/>
        <v>1.2100754064173382</v>
      </c>
      <c r="AM32" s="563">
        <f t="shared" si="23"/>
        <v>29.7</v>
      </c>
      <c r="AN32" s="472">
        <f t="shared" si="24"/>
        <v>350</v>
      </c>
      <c r="AP32">
        <f t="shared" si="25"/>
        <v>29.7</v>
      </c>
      <c r="AQ32" s="472">
        <f t="shared" si="26"/>
        <v>350</v>
      </c>
      <c r="AR32" s="472"/>
      <c r="AS32" s="6">
        <f t="shared" si="51"/>
        <v>2.8571428571428572</v>
      </c>
      <c r="AT32" s="6">
        <f t="shared" si="27"/>
        <v>1.1891070447650098</v>
      </c>
      <c r="AU32" s="6">
        <f t="shared" si="52"/>
        <v>1.6680358123778474</v>
      </c>
      <c r="AV32" s="6">
        <f t="shared" si="28"/>
        <v>0.58842410462598416</v>
      </c>
      <c r="AW32" s="179">
        <f t="shared" si="53"/>
        <v>0.41618746566775344</v>
      </c>
      <c r="AX32" s="179">
        <f t="shared" si="29"/>
        <v>0.75813157894736871</v>
      </c>
      <c r="AY32" s="179">
        <f t="shared" si="30"/>
        <v>8.8623267752755974E-2</v>
      </c>
      <c r="AZ32" s="179">
        <f t="shared" si="54"/>
        <v>8.5545432725684236</v>
      </c>
      <c r="BA32" s="472">
        <f t="shared" si="31"/>
        <v>0.14715199678966998</v>
      </c>
      <c r="BB32" s="6">
        <f t="shared" si="32"/>
        <v>0.17382688992148093</v>
      </c>
      <c r="BC32" s="6"/>
      <c r="BD32" s="179">
        <f t="shared" si="55"/>
        <v>0.11308062782122166</v>
      </c>
      <c r="BE32" s="179">
        <f t="shared" si="33"/>
        <v>0.13393078683450743</v>
      </c>
      <c r="BF32" s="179"/>
      <c r="BG32" s="546">
        <f t="shared" si="34"/>
        <v>4.4755299359545775E-3</v>
      </c>
      <c r="BH32" s="546">
        <f t="shared" si="35"/>
        <v>2.8889608654064793E-2</v>
      </c>
      <c r="BI32" s="546">
        <f t="shared" si="36"/>
        <v>4.3749999999999995E-3</v>
      </c>
      <c r="BJ32" s="546">
        <f t="shared" si="37"/>
        <v>2.2996093750000002E-2</v>
      </c>
      <c r="BK32">
        <f t="shared" si="38"/>
        <v>3.48E-3</v>
      </c>
      <c r="BL32" s="546">
        <f t="shared" si="39"/>
        <v>6.4315971691654136E-2</v>
      </c>
      <c r="BM32" s="472">
        <f t="shared" si="56"/>
        <v>64.315971691654141</v>
      </c>
      <c r="BN32" s="546">
        <f t="shared" si="40"/>
        <v>8.9099999999999995E-3</v>
      </c>
      <c r="BO32" s="546"/>
      <c r="BQ32" s="472">
        <f t="shared" si="57"/>
        <v>8.91</v>
      </c>
      <c r="BR32" s="546">
        <f t="shared" si="41"/>
        <v>2.5574456776883306E-3</v>
      </c>
      <c r="BS32" s="546">
        <f t="shared" si="42"/>
        <v>3.5874911324220542E-3</v>
      </c>
      <c r="BT32" s="546">
        <f t="shared" si="43"/>
        <v>5.8197049297660274E-3</v>
      </c>
      <c r="BU32" s="546">
        <f t="shared" si="44"/>
        <v>1.1970526390136503E-2</v>
      </c>
      <c r="BV32" s="546">
        <f t="shared" si="45"/>
        <v>5.9682698768197106E-3</v>
      </c>
      <c r="BW32" s="472">
        <f t="shared" si="58"/>
        <v>17.938796266956214</v>
      </c>
      <c r="BX32" s="179">
        <f t="shared" si="59"/>
        <v>9.1164767958610352E-2</v>
      </c>
      <c r="BY32" s="6">
        <f t="shared" si="60"/>
        <v>0.71279999999999999</v>
      </c>
      <c r="BZ32" s="179">
        <f t="shared" si="61"/>
        <v>0.88660601609434742</v>
      </c>
      <c r="CA32" s="6">
        <f t="shared" si="62"/>
        <v>88.660601609434735</v>
      </c>
      <c r="CD32" s="581">
        <f t="shared" si="46"/>
        <v>-50</v>
      </c>
      <c r="CE32">
        <f t="shared" si="47"/>
        <v>-50</v>
      </c>
    </row>
    <row r="33" spans="5:83" x14ac:dyDescent="0.2">
      <c r="E33" s="176">
        <v>28</v>
      </c>
      <c r="F33" s="223">
        <f t="shared" si="48"/>
        <v>3.0800000000000004E-2</v>
      </c>
      <c r="G33" s="223"/>
      <c r="H33" s="223">
        <f t="shared" si="0"/>
        <v>0.73920000000000008</v>
      </c>
      <c r="I33" s="559">
        <f t="shared" si="1"/>
        <v>12</v>
      </c>
      <c r="J33" s="178">
        <f t="shared" si="2"/>
        <v>24.25</v>
      </c>
      <c r="K33" s="454">
        <f t="shared" si="3"/>
        <v>36.25</v>
      </c>
      <c r="L33" s="454"/>
      <c r="M33" s="223">
        <f t="shared" si="4"/>
        <v>0.66896551724137931</v>
      </c>
      <c r="N33" s="178">
        <f t="shared" si="5"/>
        <v>5.528999999999999</v>
      </c>
      <c r="O33" s="178">
        <f t="shared" si="49"/>
        <v>0.73920000000000008</v>
      </c>
      <c r="P33" s="223">
        <f t="shared" si="6"/>
        <v>0.23037499999999997</v>
      </c>
      <c r="Q33" s="223">
        <f t="shared" si="7"/>
        <v>24</v>
      </c>
      <c r="R33" s="223">
        <f t="shared" si="8"/>
        <v>0.24250000000000002</v>
      </c>
      <c r="S33" s="178">
        <f t="shared" si="9"/>
        <v>256.35584692616317</v>
      </c>
      <c r="T33" s="178">
        <f t="shared" si="10"/>
        <v>24</v>
      </c>
      <c r="U33" s="223">
        <f t="shared" si="11"/>
        <v>0.19385784047748242</v>
      </c>
      <c r="V33" s="223">
        <f t="shared" si="12"/>
        <v>0.75927654187013949</v>
      </c>
      <c r="W33" s="223">
        <f t="shared" si="13"/>
        <v>0.37572447432749168</v>
      </c>
      <c r="X33" s="203">
        <f t="shared" si="14"/>
        <v>350</v>
      </c>
      <c r="Y33" s="454">
        <f t="shared" si="50"/>
        <v>350</v>
      </c>
      <c r="AA33" s="223">
        <f t="shared" si="15"/>
        <v>0.48799916151346817</v>
      </c>
      <c r="AB33" s="179">
        <f t="shared" si="16"/>
        <v>0.94581280788177335</v>
      </c>
      <c r="AC33" s="179">
        <f t="shared" si="17"/>
        <v>8.077227500912576E-2</v>
      </c>
      <c r="AD33" s="179"/>
      <c r="AE33" s="179">
        <f t="shared" si="18"/>
        <v>0.56206185567010303</v>
      </c>
      <c r="AF33" s="563">
        <f t="shared" si="63"/>
        <v>377.91889088471186</v>
      </c>
      <c r="AG33" s="546">
        <f t="shared" si="19"/>
        <v>2.8524639175257726E-2</v>
      </c>
      <c r="AI33" s="179">
        <f t="shared" si="20"/>
        <v>0.30917293855551203</v>
      </c>
      <c r="AJ33" s="179">
        <f t="shared" si="21"/>
        <v>0.30917293855551203</v>
      </c>
      <c r="AK33" s="179">
        <f t="shared" si="22"/>
        <v>1.2142021767077866</v>
      </c>
      <c r="AM33" s="563">
        <f t="shared" si="23"/>
        <v>30.800000000000004</v>
      </c>
      <c r="AN33" s="472">
        <f t="shared" si="24"/>
        <v>350</v>
      </c>
      <c r="AP33">
        <f t="shared" si="25"/>
        <v>30.800000000000004</v>
      </c>
      <c r="AQ33" s="472">
        <f t="shared" si="26"/>
        <v>350</v>
      </c>
      <c r="AR33" s="472"/>
      <c r="AS33" s="6">
        <f t="shared" si="51"/>
        <v>2.8571428571428572</v>
      </c>
      <c r="AT33" s="6">
        <f t="shared" si="27"/>
        <v>1.2109273426757554</v>
      </c>
      <c r="AU33" s="6">
        <f t="shared" si="52"/>
        <v>1.6462155144671018</v>
      </c>
      <c r="AV33" s="6">
        <f t="shared" si="28"/>
        <v>0.59922177781893049</v>
      </c>
      <c r="AW33" s="179">
        <f t="shared" si="53"/>
        <v>0.42382456993651441</v>
      </c>
      <c r="AX33" s="179">
        <f t="shared" si="29"/>
        <v>0.78621052631578958</v>
      </c>
      <c r="AY33" s="179">
        <f t="shared" si="30"/>
        <v>8.9068925418106876E-2</v>
      </c>
      <c r="AZ33" s="179">
        <f t="shared" si="54"/>
        <v>8.8269901385378162</v>
      </c>
      <c r="BA33" s="472">
        <f t="shared" si="31"/>
        <v>0.15540234231005529</v>
      </c>
      <c r="BB33" s="6">
        <f t="shared" si="32"/>
        <v>0.17790679945819909</v>
      </c>
      <c r="BC33" s="6"/>
      <c r="BD33" s="179">
        <f t="shared" si="55"/>
        <v>0.11620743396193828</v>
      </c>
      <c r="BE33" s="179">
        <f t="shared" si="33"/>
        <v>0.13549342273212092</v>
      </c>
      <c r="BF33" s="179"/>
      <c r="BG33" s="546">
        <f t="shared" si="34"/>
        <v>4.7264586978063858E-3</v>
      </c>
      <c r="BH33" s="546">
        <f t="shared" si="35"/>
        <v>2.941973743442294E-2</v>
      </c>
      <c r="BI33" s="546">
        <f t="shared" si="36"/>
        <v>4.3749999999999995E-3</v>
      </c>
      <c r="BJ33" s="546">
        <f t="shared" si="37"/>
        <v>2.2996093750000002E-2</v>
      </c>
      <c r="BK33">
        <f t="shared" si="38"/>
        <v>3.48E-3</v>
      </c>
      <c r="BL33" s="546">
        <f t="shared" si="39"/>
        <v>6.5103911726348968E-2</v>
      </c>
      <c r="BM33" s="472">
        <f t="shared" si="56"/>
        <v>65.103911726348969</v>
      </c>
      <c r="BN33" s="546">
        <f t="shared" si="40"/>
        <v>9.2400000000000017E-3</v>
      </c>
      <c r="BO33" s="546"/>
      <c r="BQ33" s="472">
        <f t="shared" si="57"/>
        <v>9.240000000000002</v>
      </c>
      <c r="BR33" s="546">
        <f t="shared" si="41"/>
        <v>2.7008335416036492E-3</v>
      </c>
      <c r="BS33" s="546">
        <f t="shared" si="42"/>
        <v>3.6716935207330445E-3</v>
      </c>
      <c r="BT33" s="546">
        <f t="shared" si="43"/>
        <v>6.0903717120390291E-3</v>
      </c>
      <c r="BU33" s="546">
        <f t="shared" si="44"/>
        <v>1.2469255627890597E-2</v>
      </c>
      <c r="BV33" s="546">
        <f t="shared" si="45"/>
        <v>6.1893169092945149E-3</v>
      </c>
      <c r="BW33" s="472">
        <f t="shared" si="58"/>
        <v>18.658572537185115</v>
      </c>
      <c r="BX33" s="179">
        <f t="shared" si="59"/>
        <v>9.300248426353408E-2</v>
      </c>
      <c r="BY33" s="6">
        <f t="shared" si="60"/>
        <v>0.73920000000000008</v>
      </c>
      <c r="BZ33" s="179">
        <f t="shared" si="61"/>
        <v>0.88824536573471358</v>
      </c>
      <c r="CA33" s="6">
        <f t="shared" si="62"/>
        <v>88.824536573471363</v>
      </c>
      <c r="CD33" s="581">
        <f t="shared" si="46"/>
        <v>-50</v>
      </c>
      <c r="CE33">
        <f t="shared" si="47"/>
        <v>-50</v>
      </c>
    </row>
    <row r="34" spans="5:83" x14ac:dyDescent="0.2">
      <c r="E34" s="176">
        <v>29</v>
      </c>
      <c r="F34" s="223">
        <f t="shared" si="48"/>
        <v>3.1899999999999998E-2</v>
      </c>
      <c r="G34" s="223"/>
      <c r="H34" s="223">
        <f t="shared" si="0"/>
        <v>0.76559999999999995</v>
      </c>
      <c r="I34" s="559">
        <f t="shared" si="1"/>
        <v>12</v>
      </c>
      <c r="J34" s="178">
        <f t="shared" si="2"/>
        <v>24.25</v>
      </c>
      <c r="K34" s="454">
        <f t="shared" si="3"/>
        <v>36.25</v>
      </c>
      <c r="L34" s="454"/>
      <c r="M34" s="223">
        <f t="shared" si="4"/>
        <v>0.66896551724137931</v>
      </c>
      <c r="N34" s="178">
        <f t="shared" si="5"/>
        <v>5.528999999999999</v>
      </c>
      <c r="O34" s="178">
        <f t="shared" si="49"/>
        <v>0.76559999999999995</v>
      </c>
      <c r="P34" s="223">
        <f t="shared" si="6"/>
        <v>0.23037499999999997</v>
      </c>
      <c r="Q34" s="223">
        <f t="shared" si="7"/>
        <v>24</v>
      </c>
      <c r="R34" s="223">
        <f t="shared" si="8"/>
        <v>0.24250000000000002</v>
      </c>
      <c r="S34" s="178">
        <f t="shared" si="9"/>
        <v>247.1030375047352</v>
      </c>
      <c r="T34" s="178">
        <f t="shared" si="10"/>
        <v>24</v>
      </c>
      <c r="U34" s="223">
        <f t="shared" si="11"/>
        <v>0.20078133478024959</v>
      </c>
      <c r="V34" s="223">
        <f t="shared" si="12"/>
        <v>0.78639356122264426</v>
      </c>
      <c r="W34" s="223">
        <f t="shared" si="13"/>
        <v>0.38914320555347343</v>
      </c>
      <c r="X34" s="203">
        <f t="shared" si="14"/>
        <v>350</v>
      </c>
      <c r="Y34" s="454">
        <f t="shared" si="50"/>
        <v>350</v>
      </c>
      <c r="AA34" s="223">
        <f t="shared" si="15"/>
        <v>0.48799916151346817</v>
      </c>
      <c r="AB34" s="179">
        <f t="shared" si="16"/>
        <v>0.94581280788177335</v>
      </c>
      <c r="AC34" s="179">
        <f t="shared" si="17"/>
        <v>8.077227500912576E-2</v>
      </c>
      <c r="AD34" s="179"/>
      <c r="AE34" s="179">
        <f t="shared" si="18"/>
        <v>0.56206185567010303</v>
      </c>
      <c r="AF34" s="563">
        <f t="shared" si="63"/>
        <v>391.4159941305943</v>
      </c>
      <c r="AG34" s="546">
        <f t="shared" si="19"/>
        <v>2.8524639175257726E-2</v>
      </c>
      <c r="AI34" s="179">
        <f t="shared" si="20"/>
        <v>0.31464545081479417</v>
      </c>
      <c r="AJ34" s="179">
        <f t="shared" si="21"/>
        <v>0.31464545081479417</v>
      </c>
      <c r="AK34" s="179">
        <f t="shared" si="22"/>
        <v>1.21825588949244</v>
      </c>
      <c r="AM34" s="563">
        <f t="shared" si="23"/>
        <v>31.9</v>
      </c>
      <c r="AN34" s="472">
        <f t="shared" si="24"/>
        <v>350</v>
      </c>
      <c r="AP34">
        <f t="shared" si="25"/>
        <v>31.9</v>
      </c>
      <c r="AQ34" s="472">
        <f t="shared" si="26"/>
        <v>350</v>
      </c>
      <c r="AR34" s="472"/>
      <c r="AS34" s="6">
        <f t="shared" si="51"/>
        <v>2.8571428571428572</v>
      </c>
      <c r="AT34" s="6">
        <f t="shared" si="27"/>
        <v>1.2323613490246104</v>
      </c>
      <c r="AU34" s="6">
        <f t="shared" si="52"/>
        <v>1.6247815081182468</v>
      </c>
      <c r="AV34" s="6">
        <f t="shared" si="28"/>
        <v>0.6098282964245495</v>
      </c>
      <c r="AW34" s="179">
        <f t="shared" si="53"/>
        <v>0.43132647215861364</v>
      </c>
      <c r="AX34" s="179">
        <f t="shared" si="29"/>
        <v>0.81428947368421045</v>
      </c>
      <c r="AY34" s="179">
        <f t="shared" si="30"/>
        <v>8.9465269267046205E-2</v>
      </c>
      <c r="AZ34" s="179">
        <f t="shared" si="54"/>
        <v>9.1017383656849642</v>
      </c>
      <c r="BA34" s="472">
        <f t="shared" si="31"/>
        <v>0.16380136264118778</v>
      </c>
      <c r="BB34" s="6">
        <f t="shared" si="32"/>
        <v>0.18186150915428792</v>
      </c>
      <c r="BC34" s="6"/>
      <c r="BD34" s="179">
        <f t="shared" si="55"/>
        <v>0.11930643983296632</v>
      </c>
      <c r="BE34" s="179">
        <f t="shared" si="33"/>
        <v>0.13699109455434613</v>
      </c>
      <c r="BF34" s="179"/>
      <c r="BG34" s="546">
        <f t="shared" si="34"/>
        <v>4.9819093049660243E-3</v>
      </c>
      <c r="BH34" s="546">
        <f t="shared" si="35"/>
        <v>2.9940481179095254E-2</v>
      </c>
      <c r="BI34" s="546">
        <f t="shared" si="36"/>
        <v>4.3749999999999995E-3</v>
      </c>
      <c r="BJ34" s="546">
        <f t="shared" si="37"/>
        <v>2.2996093750000002E-2</v>
      </c>
      <c r="BK34">
        <f t="shared" si="38"/>
        <v>3.48E-3</v>
      </c>
      <c r="BL34" s="546">
        <f t="shared" si="39"/>
        <v>6.5887220835001009E-2</v>
      </c>
      <c r="BM34" s="472">
        <f t="shared" si="56"/>
        <v>65.887220835001003</v>
      </c>
      <c r="BN34" s="546">
        <f t="shared" si="40"/>
        <v>9.5699999999999986E-3</v>
      </c>
      <c r="BO34" s="546"/>
      <c r="BQ34" s="472">
        <f t="shared" si="57"/>
        <v>9.5699999999999985</v>
      </c>
      <c r="BR34" s="546">
        <f t="shared" si="41"/>
        <v>2.846805317123443E-3</v>
      </c>
      <c r="BS34" s="546">
        <f t="shared" si="42"/>
        <v>3.7533119974395603E-3</v>
      </c>
      <c r="BT34" s="546">
        <f t="shared" si="43"/>
        <v>6.3634664366534104E-3</v>
      </c>
      <c r="BU34" s="546">
        <f t="shared" si="44"/>
        <v>1.2970432261179964E-2</v>
      </c>
      <c r="BV34" s="546">
        <f t="shared" si="45"/>
        <v>6.4103639417693184E-3</v>
      </c>
      <c r="BW34" s="472">
        <f t="shared" si="58"/>
        <v>19.380796202949281</v>
      </c>
      <c r="BX34" s="179">
        <f t="shared" si="59"/>
        <v>9.4838017037950292E-2</v>
      </c>
      <c r="BY34" s="6">
        <f t="shared" si="60"/>
        <v>0.76559999999999995</v>
      </c>
      <c r="BZ34" s="179">
        <f t="shared" si="61"/>
        <v>0.88977937380727412</v>
      </c>
      <c r="CA34" s="6">
        <f t="shared" si="62"/>
        <v>88.977937380727411</v>
      </c>
      <c r="CD34" s="581">
        <f t="shared" si="46"/>
        <v>-50</v>
      </c>
      <c r="CE34">
        <f t="shared" si="47"/>
        <v>-50</v>
      </c>
    </row>
    <row r="35" spans="5:83" x14ac:dyDescent="0.2">
      <c r="E35" s="176">
        <v>30</v>
      </c>
      <c r="F35" s="223">
        <f t="shared" si="48"/>
        <v>3.3000000000000002E-2</v>
      </c>
      <c r="G35" s="223"/>
      <c r="H35" s="223">
        <f t="shared" si="0"/>
        <v>0.79200000000000004</v>
      </c>
      <c r="I35" s="559">
        <f t="shared" si="1"/>
        <v>12</v>
      </c>
      <c r="J35" s="178">
        <f t="shared" si="2"/>
        <v>24.25</v>
      </c>
      <c r="K35" s="454">
        <f t="shared" si="3"/>
        <v>36.25</v>
      </c>
      <c r="L35" s="454"/>
      <c r="M35" s="223">
        <f t="shared" si="4"/>
        <v>0.66896551724137931</v>
      </c>
      <c r="N35" s="178">
        <f t="shared" si="5"/>
        <v>5.528999999999999</v>
      </c>
      <c r="O35" s="178">
        <f t="shared" si="49"/>
        <v>0.79200000000000004</v>
      </c>
      <c r="P35" s="223">
        <f t="shared" si="6"/>
        <v>0.23037499999999997</v>
      </c>
      <c r="Q35" s="223">
        <f t="shared" si="7"/>
        <v>24</v>
      </c>
      <c r="R35" s="223">
        <f t="shared" si="8"/>
        <v>0.24250000000000002</v>
      </c>
      <c r="S35" s="178">
        <f t="shared" si="9"/>
        <v>238.46711263067678</v>
      </c>
      <c r="T35" s="178">
        <f t="shared" si="10"/>
        <v>24</v>
      </c>
      <c r="U35" s="223">
        <f t="shared" si="11"/>
        <v>0.20770482908301685</v>
      </c>
      <c r="V35" s="223">
        <f t="shared" si="12"/>
        <v>0.81351058057514924</v>
      </c>
      <c r="W35" s="223">
        <f t="shared" si="13"/>
        <v>0.40256193677945529</v>
      </c>
      <c r="X35" s="203">
        <f t="shared" si="14"/>
        <v>350</v>
      </c>
      <c r="Y35" s="454">
        <f t="shared" si="50"/>
        <v>350</v>
      </c>
      <c r="AA35" s="223">
        <f t="shared" si="15"/>
        <v>0.48799916151346817</v>
      </c>
      <c r="AB35" s="179">
        <f t="shared" si="16"/>
        <v>0.94581280788177335</v>
      </c>
      <c r="AC35" s="179">
        <f t="shared" si="17"/>
        <v>8.077227500912576E-2</v>
      </c>
      <c r="AD35" s="179"/>
      <c r="AE35" s="179">
        <f t="shared" si="18"/>
        <v>0.56206185567010303</v>
      </c>
      <c r="AF35" s="563">
        <f t="shared" si="63"/>
        <v>404.91309737647691</v>
      </c>
      <c r="AG35" s="546">
        <f t="shared" si="19"/>
        <v>2.8524639175257726E-2</v>
      </c>
      <c r="AI35" s="179">
        <f t="shared" si="20"/>
        <v>0.32002439516674308</v>
      </c>
      <c r="AJ35" s="179">
        <f t="shared" si="21"/>
        <v>0.32002439516674308</v>
      </c>
      <c r="AK35" s="179">
        <f t="shared" si="22"/>
        <v>1.222240292716106</v>
      </c>
      <c r="AM35" s="563">
        <f t="shared" si="23"/>
        <v>33</v>
      </c>
      <c r="AN35" s="472">
        <f t="shared" si="24"/>
        <v>350</v>
      </c>
      <c r="AP35">
        <f t="shared" si="25"/>
        <v>33</v>
      </c>
      <c r="AQ35" s="472">
        <f t="shared" si="26"/>
        <v>350</v>
      </c>
      <c r="AR35" s="472"/>
      <c r="AS35" s="6">
        <f t="shared" si="51"/>
        <v>2.8571428571428572</v>
      </c>
      <c r="AT35" s="6">
        <f t="shared" si="27"/>
        <v>1.2534288810697436</v>
      </c>
      <c r="AU35" s="6">
        <f t="shared" si="52"/>
        <v>1.6037139760731136</v>
      </c>
      <c r="AV35" s="6">
        <f t="shared" si="28"/>
        <v>0.62025346692111016</v>
      </c>
      <c r="AW35" s="179">
        <f t="shared" si="53"/>
        <v>0.43870010837441026</v>
      </c>
      <c r="AX35" s="179">
        <f t="shared" si="29"/>
        <v>0.84236842105263177</v>
      </c>
      <c r="AY35" s="179">
        <f t="shared" si="30"/>
        <v>8.9814829162318907E-2</v>
      </c>
      <c r="AZ35" s="179">
        <f t="shared" si="54"/>
        <v>9.3789458701775352</v>
      </c>
      <c r="BA35" s="472">
        <f t="shared" si="31"/>
        <v>0.17234647114708979</v>
      </c>
      <c r="BB35" s="6">
        <f t="shared" si="32"/>
        <v>0.18569319722951844</v>
      </c>
      <c r="BC35" s="6"/>
      <c r="BD35" s="179">
        <f t="shared" si="55"/>
        <v>0.12237883905110503</v>
      </c>
      <c r="BE35" s="179">
        <f t="shared" si="33"/>
        <v>0.13842672280470381</v>
      </c>
      <c r="BF35" s="179"/>
      <c r="BG35" s="546">
        <f t="shared" si="34"/>
        <v>5.2418030866236932E-3</v>
      </c>
      <c r="BH35" s="546">
        <f t="shared" si="35"/>
        <v>3.0452321352585396E-2</v>
      </c>
      <c r="BI35" s="546">
        <f t="shared" si="36"/>
        <v>4.3749999999999995E-3</v>
      </c>
      <c r="BJ35" s="546">
        <f t="shared" si="37"/>
        <v>2.2996093750000002E-2</v>
      </c>
      <c r="BK35">
        <f t="shared" si="38"/>
        <v>3.48E-3</v>
      </c>
      <c r="BL35" s="546">
        <f t="shared" si="39"/>
        <v>6.666630318031537E-2</v>
      </c>
      <c r="BM35" s="472">
        <f t="shared" si="56"/>
        <v>66.666303180315367</v>
      </c>
      <c r="BN35" s="546">
        <f t="shared" si="40"/>
        <v>9.9000000000000008E-3</v>
      </c>
      <c r="BO35" s="546"/>
      <c r="BQ35" s="472">
        <f t="shared" si="57"/>
        <v>9.9</v>
      </c>
      <c r="BR35" s="546">
        <f t="shared" si="41"/>
        <v>2.9953160494992537E-3</v>
      </c>
      <c r="BS35" s="546">
        <f t="shared" si="42"/>
        <v>3.8323915172900611E-3</v>
      </c>
      <c r="BT35" s="546">
        <f t="shared" si="43"/>
        <v>6.6389260150007913E-3</v>
      </c>
      <c r="BU35" s="546">
        <f t="shared" si="44"/>
        <v>1.3473993300671215E-2</v>
      </c>
      <c r="BV35" s="546">
        <f t="shared" si="45"/>
        <v>6.6314109742441228E-3</v>
      </c>
      <c r="BW35" s="472">
        <f t="shared" si="58"/>
        <v>20.105404274915337</v>
      </c>
      <c r="BX35" s="179">
        <f t="shared" si="59"/>
        <v>9.667170745523071E-2</v>
      </c>
      <c r="BY35" s="6">
        <f t="shared" si="60"/>
        <v>0.79200000000000004</v>
      </c>
      <c r="BZ35" s="179">
        <f t="shared" si="61"/>
        <v>0.89121775044233553</v>
      </c>
      <c r="CA35" s="6">
        <f t="shared" si="62"/>
        <v>89.121775044233559</v>
      </c>
      <c r="CD35" s="581">
        <f t="shared" si="46"/>
        <v>-50</v>
      </c>
      <c r="CE35">
        <f t="shared" si="47"/>
        <v>-50</v>
      </c>
    </row>
    <row r="36" spans="5:83" x14ac:dyDescent="0.2">
      <c r="E36" s="176">
        <v>31</v>
      </c>
      <c r="F36" s="223">
        <f t="shared" si="48"/>
        <v>3.4099999999999998E-2</v>
      </c>
      <c r="G36" s="223"/>
      <c r="H36" s="223">
        <f t="shared" si="0"/>
        <v>0.81840000000000002</v>
      </c>
      <c r="I36" s="559">
        <f t="shared" si="1"/>
        <v>12</v>
      </c>
      <c r="J36" s="178">
        <f t="shared" si="2"/>
        <v>24.25</v>
      </c>
      <c r="K36" s="454">
        <f t="shared" si="3"/>
        <v>36.25</v>
      </c>
      <c r="L36" s="454"/>
      <c r="M36" s="223">
        <f t="shared" si="4"/>
        <v>0.66896551724137931</v>
      </c>
      <c r="N36" s="178">
        <f t="shared" si="5"/>
        <v>5.528999999999999</v>
      </c>
      <c r="O36" s="178">
        <f t="shared" si="49"/>
        <v>0.81840000000000002</v>
      </c>
      <c r="P36" s="223">
        <f t="shared" si="6"/>
        <v>0.23037499999999997</v>
      </c>
      <c r="Q36" s="223">
        <f t="shared" si="7"/>
        <v>24</v>
      </c>
      <c r="R36" s="223">
        <f t="shared" si="8"/>
        <v>0.24250000000000002</v>
      </c>
      <c r="S36" s="178">
        <f t="shared" si="9"/>
        <v>230.38837394469846</v>
      </c>
      <c r="T36" s="178">
        <f t="shared" si="10"/>
        <v>24</v>
      </c>
      <c r="U36" s="223">
        <f t="shared" si="11"/>
        <v>0.21462832338578408</v>
      </c>
      <c r="V36" s="223">
        <f t="shared" si="12"/>
        <v>0.84062759992765423</v>
      </c>
      <c r="W36" s="223">
        <f t="shared" si="13"/>
        <v>0.4159806680054372</v>
      </c>
      <c r="X36" s="203">
        <f t="shared" si="14"/>
        <v>350</v>
      </c>
      <c r="Y36" s="454">
        <f t="shared" si="50"/>
        <v>350</v>
      </c>
      <c r="AA36" s="223">
        <f t="shared" si="15"/>
        <v>0.48799916151346817</v>
      </c>
      <c r="AB36" s="179">
        <f t="shared" si="16"/>
        <v>0.94581280788177335</v>
      </c>
      <c r="AC36" s="179">
        <f t="shared" si="17"/>
        <v>8.077227500912576E-2</v>
      </c>
      <c r="AD36" s="179"/>
      <c r="AE36" s="179">
        <f t="shared" si="18"/>
        <v>0.56206185567010303</v>
      </c>
      <c r="AF36" s="563">
        <f t="shared" si="63"/>
        <v>418.41020062235947</v>
      </c>
      <c r="AG36" s="546">
        <f t="shared" si="19"/>
        <v>2.8524639175257726E-2</v>
      </c>
      <c r="AI36" s="179">
        <f t="shared" si="20"/>
        <v>0.32531441296879909</v>
      </c>
      <c r="AJ36" s="179">
        <f t="shared" si="21"/>
        <v>0.32531441296879909</v>
      </c>
      <c r="AK36" s="179">
        <f t="shared" si="22"/>
        <v>1.2261588244213326</v>
      </c>
      <c r="AM36" s="563">
        <f t="shared" si="23"/>
        <v>34.1</v>
      </c>
      <c r="AN36" s="472">
        <f t="shared" si="24"/>
        <v>350</v>
      </c>
      <c r="AP36">
        <f t="shared" si="25"/>
        <v>34.1</v>
      </c>
      <c r="AQ36" s="472">
        <f t="shared" si="26"/>
        <v>350</v>
      </c>
      <c r="AR36" s="472"/>
      <c r="AS36" s="6">
        <f t="shared" si="51"/>
        <v>2.8571428571428572</v>
      </c>
      <c r="AT36" s="6">
        <f t="shared" si="27"/>
        <v>1.2741481174611298</v>
      </c>
      <c r="AU36" s="6">
        <f t="shared" si="52"/>
        <v>1.5829947396817274</v>
      </c>
      <c r="AV36" s="6">
        <f t="shared" si="28"/>
        <v>0.63050628492921879</v>
      </c>
      <c r="AW36" s="179">
        <f t="shared" si="53"/>
        <v>0.44595184111139541</v>
      </c>
      <c r="AX36" s="179">
        <f t="shared" si="29"/>
        <v>0.87044736842105253</v>
      </c>
      <c r="AY36" s="179">
        <f t="shared" si="30"/>
        <v>9.0119925782645161E-2</v>
      </c>
      <c r="AZ36" s="179">
        <f t="shared" si="54"/>
        <v>9.6587670358321454</v>
      </c>
      <c r="BA36" s="472">
        <f t="shared" si="31"/>
        <v>0.18103521168926887</v>
      </c>
      <c r="BB36" s="6">
        <f t="shared" si="32"/>
        <v>0.18940393201104175</v>
      </c>
      <c r="BC36" s="6"/>
      <c r="BD36" s="179">
        <f t="shared" si="55"/>
        <v>0.12542573603489898</v>
      </c>
      <c r="BE36" s="179">
        <f t="shared" si="33"/>
        <v>0.13980298221133186</v>
      </c>
      <c r="BF36" s="179"/>
      <c r="BG36" s="546">
        <f t="shared" si="34"/>
        <v>5.506065340963655E-3</v>
      </c>
      <c r="BH36" s="546">
        <f t="shared" si="35"/>
        <v>3.0955699609062286E-2</v>
      </c>
      <c r="BI36" s="546">
        <f t="shared" si="36"/>
        <v>4.3749999999999995E-3</v>
      </c>
      <c r="BJ36" s="546">
        <f t="shared" si="37"/>
        <v>2.2996093750000002E-2</v>
      </c>
      <c r="BK36">
        <f t="shared" si="38"/>
        <v>3.48E-3</v>
      </c>
      <c r="BL36" s="546">
        <f t="shared" si="39"/>
        <v>6.7441527128205017E-2</v>
      </c>
      <c r="BM36" s="472">
        <f t="shared" si="56"/>
        <v>67.441527128205024</v>
      </c>
      <c r="BN36" s="546">
        <f t="shared" si="40"/>
        <v>1.023E-2</v>
      </c>
      <c r="BO36" s="546"/>
      <c r="BQ36" s="472">
        <f t="shared" si="57"/>
        <v>10.229999999999999</v>
      </c>
      <c r="BR36" s="546">
        <f t="shared" si="41"/>
        <v>3.1463230519792316E-3</v>
      </c>
      <c r="BS36" s="546">
        <f t="shared" si="42"/>
        <v>3.9089747670363944E-3</v>
      </c>
      <c r="BT36" s="546">
        <f t="shared" si="43"/>
        <v>6.9166910562430519E-3</v>
      </c>
      <c r="BU36" s="546">
        <f t="shared" si="44"/>
        <v>1.3979879452299471E-2</v>
      </c>
      <c r="BV36" s="546">
        <f t="shared" si="45"/>
        <v>6.8524580067189245E-3</v>
      </c>
      <c r="BW36" s="472">
        <f t="shared" si="58"/>
        <v>20.832337459018394</v>
      </c>
      <c r="BX36" s="179">
        <f t="shared" si="59"/>
        <v>9.8503864587223419E-2</v>
      </c>
      <c r="BY36" s="6">
        <f t="shared" si="60"/>
        <v>0.81840000000000002</v>
      </c>
      <c r="BZ36" s="179">
        <f t="shared" si="61"/>
        <v>0.89256903761489936</v>
      </c>
      <c r="CA36" s="6">
        <f t="shared" si="62"/>
        <v>89.256903761489937</v>
      </c>
      <c r="CD36" s="581">
        <f t="shared" si="46"/>
        <v>-50</v>
      </c>
      <c r="CE36">
        <f t="shared" si="47"/>
        <v>-50</v>
      </c>
    </row>
    <row r="37" spans="5:83" x14ac:dyDescent="0.2">
      <c r="E37" s="176">
        <v>32</v>
      </c>
      <c r="F37" s="223">
        <f t="shared" si="48"/>
        <v>3.5200000000000002E-2</v>
      </c>
      <c r="G37" s="223"/>
      <c r="H37" s="223">
        <f t="shared" ref="H37:H68" si="64">F37*Vout</f>
        <v>0.8448</v>
      </c>
      <c r="I37" s="559">
        <f t="shared" ref="I37:I68" si="65">Vin</f>
        <v>12</v>
      </c>
      <c r="J37" s="178">
        <f t="shared" ref="J37:J68" si="66">(T37+Vfwd1)*Nps</f>
        <v>24.25</v>
      </c>
      <c r="K37" s="454">
        <f t="shared" ref="K37:K68" si="67">(Vout+Vfwd1)*Nps+I37</f>
        <v>36.25</v>
      </c>
      <c r="L37" s="454"/>
      <c r="M37" s="223">
        <f t="shared" ref="M37:M68" si="68">(Vout+Vfwd1)*Nps/((Vout+Vfwd1)*Nps+I37)</f>
        <v>0.66896551724137931</v>
      </c>
      <c r="N37" s="178">
        <f t="shared" si="5"/>
        <v>5.528999999999999</v>
      </c>
      <c r="O37" s="178">
        <f t="shared" si="49"/>
        <v>0.8448</v>
      </c>
      <c r="P37" s="223">
        <f t="shared" ref="P37:P68" si="69">N37/Vout</f>
        <v>0.23037499999999997</v>
      </c>
      <c r="Q37" s="223">
        <f t="shared" ref="Q37:Q68" si="70">MIN(Vout,N37/F37)</f>
        <v>24</v>
      </c>
      <c r="R37" s="223">
        <f t="shared" ref="R37:R68" si="71">Isw_max/2*I37*Nps*(Q37+Vfwd1)/Q37/(I37+Nps*(Q37+Vfwd1))</f>
        <v>0.24250000000000002</v>
      </c>
      <c r="S37" s="178">
        <f t="shared" ref="S37:S68" si="72">(SQRT(Isw_max^2*Nps^2*I37^2+4*Isw_max*F37/Efficiency*(Nps^2*Vfwd1*I37-Nps*I37^2)+4*(F37/Efficiency)^2*Nps^2*Vfwd1^2+8*(F37/Efficiency)^2*Nps*Vfwd1*I37+4*(F37/Efficiency)^2*I37^2)-2*F37/Efficiency*I37-2*F37/Efficiency*Nps*Vfwd1+Isw_max*Nps*I37)/(4*F37/Efficiency*Nps)</f>
        <v>222.81458538332203</v>
      </c>
      <c r="T37" s="178">
        <f t="shared" ref="T37:T68" si="73">MIN(Vout, S37)</f>
        <v>24</v>
      </c>
      <c r="U37" s="223">
        <f t="shared" ref="U37:U68" si="74">MIN(2*Vout*F37/(Efficiency*I37*M37), Isw_max)</f>
        <v>0.22155181768855128</v>
      </c>
      <c r="V37" s="223">
        <f t="shared" ref="V37:V68" si="75">L*U37/I37*1000000</f>
        <v>0.86774461928015911</v>
      </c>
      <c r="W37" s="223">
        <f t="shared" ref="W37:W68" si="76">L*U37/J37*1000000</f>
        <v>0.42939939923141901</v>
      </c>
      <c r="X37" s="203">
        <f t="shared" ref="X37:X68" si="77">IF(1/((350000*L)*(1/I37+1/J37))&gt;Isw_min, 350, 0.001/((Isw_min*L)*(1/I37+1/J37)))</f>
        <v>350</v>
      </c>
      <c r="Y37" s="454">
        <f t="shared" si="50"/>
        <v>350</v>
      </c>
      <c r="AA37" s="223">
        <f t="shared" ref="AA37:AA68" si="78">1/((X37*1000*L)*(1/I37+1/J37))</f>
        <v>0.48799916151346817</v>
      </c>
      <c r="AB37" s="179">
        <f t="shared" ref="AB37:AB68" si="79">L*AA37/J37*1000000</f>
        <v>0.94581280788177335</v>
      </c>
      <c r="AC37" s="179">
        <f t="shared" ref="AC37:AC68" si="80">0.5*AB37*AA37*Nps*X37/1000</f>
        <v>8.077227500912576E-2</v>
      </c>
      <c r="AD37" s="179"/>
      <c r="AE37" s="179">
        <f t="shared" ref="AE37:AE68" si="81">L*Isw_min/J37*1000000</f>
        <v>0.56206185567010303</v>
      </c>
      <c r="AF37" s="563">
        <f t="shared" si="63"/>
        <v>431.90730386824208</v>
      </c>
      <c r="AG37" s="546">
        <f t="shared" ref="AG37:AG68" si="82">0.5*AE37/1000000*Isw_min*Nps*X37*1000</f>
        <v>2.8524639175257726E-2</v>
      </c>
      <c r="AI37" s="179">
        <f t="shared" ref="AI37:AI68" si="83">SQRT(F37/Efficiency/(0.5*L/J37*Fsw_DCM*Nps))</f>
        <v>0.33051977409623928</v>
      </c>
      <c r="AJ37" s="179">
        <f t="shared" ref="AJ37:AJ68" si="84">MAX(IF(F37&gt;AC37,U37,AI37),Isw_min)</f>
        <v>0.33051977409623928</v>
      </c>
      <c r="AK37" s="179">
        <f t="shared" ref="AK37:AK68" si="85">IF(F37&gt;AG37, (AJ37-Isw_min)/1.08*0.8+1.2, AF37*0.2/350+1)</f>
        <v>1.2300146474786957</v>
      </c>
      <c r="AM37" s="563">
        <f t="shared" ref="AM37:AM68" si="86">F37*1000</f>
        <v>35.200000000000003</v>
      </c>
      <c r="AN37" s="472">
        <f t="shared" ref="AN37:AN68" si="87">IF(F37&gt;AG37, Y37, AF37)</f>
        <v>350</v>
      </c>
      <c r="AP37">
        <f t="shared" ref="AP37:AP68" si="88">IF(H37&gt;N37, "",AM37)</f>
        <v>35.200000000000003</v>
      </c>
      <c r="AQ37" s="472">
        <f t="shared" ref="AQ37:AQ68" si="89">IF(H37&gt;N37, "",AN37)</f>
        <v>350</v>
      </c>
      <c r="AR37" s="472"/>
      <c r="AS37" s="6">
        <f t="shared" si="51"/>
        <v>2.8571428571428572</v>
      </c>
      <c r="AT37" s="6">
        <f t="shared" ref="AT37:AT68" si="90">L*AJ37/I37*1000000</f>
        <v>1.294535781876937</v>
      </c>
      <c r="AU37" s="6">
        <f t="shared" si="52"/>
        <v>1.5626070752659202</v>
      </c>
      <c r="AV37" s="6">
        <f t="shared" ref="AV37:AV68" si="91">L*AJ37/J37*1000000</f>
        <v>0.64059502608343277</v>
      </c>
      <c r="AW37" s="179">
        <f t="shared" si="53"/>
        <v>0.45308752365692795</v>
      </c>
      <c r="AX37" s="179">
        <f t="shared" ref="AX37:AX68" si="92">0.5*L*AJ37^2*AN37*1000</f>
        <v>0.89852631578947395</v>
      </c>
      <c r="AY37" s="179">
        <f t="shared" ref="AY37:AY68" si="93">AJ37*Nps/2*(1-AW37)</f>
        <v>9.0382694065663488E-2</v>
      </c>
      <c r="AZ37" s="179">
        <f t="shared" si="54"/>
        <v>9.941353542047441</v>
      </c>
      <c r="BA37" s="472">
        <f t="shared" ref="BA37:BA68" si="94">F37*AT37/Vout_ripple*1000</f>
        <v>0.18986524800861743</v>
      </c>
      <c r="BB37" s="6">
        <f t="shared" ref="BB37:BB68" si="95">H37/Efficiency/I37*AU37/Vinripple1</f>
        <v>0.19299568087494873</v>
      </c>
      <c r="BC37" s="6"/>
      <c r="BD37" s="179">
        <f t="shared" si="55"/>
        <v>0.12844815532481557</v>
      </c>
      <c r="BE37" s="179">
        <f t="shared" ref="BE37:BE68" si="96">AJ37*Nps*SQRT((1-AW37)/3)</f>
        <v>0.14112232902649297</v>
      </c>
      <c r="BF37" s="179"/>
      <c r="BG37" s="546">
        <f t="shared" ref="BG37:BG68" si="97">Rdson*BD37^2</f>
        <v>5.7746250122217811E-3</v>
      </c>
      <c r="BH37" s="546">
        <f t="shared" ref="BH37:BH68" si="98">0.5*K37*AJ37*AN37*1000*Trise</f>
        <v>3.1451022253845266E-2</v>
      </c>
      <c r="BI37" s="546">
        <f t="shared" ref="BI37:BI68" si="99">Qg*Vdd*AN37*1000</f>
        <v>4.3749999999999995E-3</v>
      </c>
      <c r="BJ37" s="546">
        <f t="shared" ref="BJ37:BJ68" si="100">0.5*(Coss+Csw)*K37^2*AN37*1000</f>
        <v>2.2996093750000002E-2</v>
      </c>
      <c r="BK37">
        <f t="shared" ref="BK37:BK68" si="101">I37*IQ</f>
        <v>3.48E-3</v>
      </c>
      <c r="BL37" s="546">
        <f t="shared" ref="BL37:BL68" si="102">(BH37+BI37+BJ37+BK37+BG37*(1+RdsonTC*(Ta-25)))/(1-BG37*RdsonTC*ThetaJA)</f>
        <v>6.8213229382890692E-2</v>
      </c>
      <c r="BM37" s="472">
        <f t="shared" si="56"/>
        <v>68.213229382890688</v>
      </c>
      <c r="BN37" s="546">
        <f t="shared" ref="BN37:BN68" si="103">Vfwd2*F37*(1+Diode_TC/1000*(Ta-25))</f>
        <v>1.056E-2</v>
      </c>
      <c r="BO37" s="546"/>
      <c r="BQ37" s="472">
        <f t="shared" si="57"/>
        <v>10.56</v>
      </c>
      <c r="BR37" s="546">
        <f t="shared" ref="BR37:BR68" si="104">Rdcr_pri*BD37^2</f>
        <v>3.2997857212695896E-3</v>
      </c>
      <c r="BS37" s="546">
        <f t="shared" ref="BS37:BS68" si="105">Rdcr_sec*BE37^2</f>
        <v>3.9831023499723476E-3</v>
      </c>
      <c r="BT37" s="546">
        <f t="shared" ref="BT37:BT68" si="106">AJ37^2.5*AN37^2.5*k_core</f>
        <v>7.1967055377013716E-3</v>
      </c>
      <c r="BU37" s="546">
        <f t="shared" ref="BU37:BU68" si="107">(BT37+(BR37+BS37)*(1+Ltc*(Ta-25)))/(1-(BR37+BS37)*Ltc*ThetaCa)</f>
        <v>1.4488034787801854E-2</v>
      </c>
      <c r="BV37" s="546">
        <f t="shared" ref="BV37:BV68" si="108">0.5*Lleak*0.000000001*AJ37^2*AN37*1000</f>
        <v>7.0735050391937306E-3</v>
      </c>
      <c r="BW37" s="472">
        <f t="shared" si="58"/>
        <v>21.561539826995585</v>
      </c>
      <c r="BX37" s="179">
        <f t="shared" si="59"/>
        <v>0.10033476920988627</v>
      </c>
      <c r="BY37" s="6">
        <f t="shared" si="60"/>
        <v>0.8448</v>
      </c>
      <c r="BZ37" s="179">
        <f t="shared" si="61"/>
        <v>0.89384078072403994</v>
      </c>
      <c r="CA37" s="6">
        <f t="shared" si="62"/>
        <v>89.384078072403994</v>
      </c>
      <c r="CD37" s="581">
        <f t="shared" ref="CD37:CD68" si="109">IF(ABS(F37-Ioutmax_Vinnom)&lt;Iout/200, AN37, -50)</f>
        <v>-50</v>
      </c>
      <c r="CE37">
        <f t="shared" ref="CE37:CE68" si="110">IF(ABS(F37-Ioutmax_Vinnom)&lt;Iout/200, N37*BZ37, -50)</f>
        <v>-50</v>
      </c>
    </row>
    <row r="38" spans="5:83" x14ac:dyDescent="0.2">
      <c r="E38" s="176">
        <v>33</v>
      </c>
      <c r="F38" s="223">
        <f t="shared" ref="F38:F69" si="111">IF(PLOT_TYPE=1, E38/100*Iout_max, min_I*EXP(N38*rr/100))</f>
        <v>3.6299999999999999E-2</v>
      </c>
      <c r="G38" s="223"/>
      <c r="H38" s="223">
        <f t="shared" si="64"/>
        <v>0.87119999999999997</v>
      </c>
      <c r="I38" s="559">
        <f t="shared" si="65"/>
        <v>12</v>
      </c>
      <c r="J38" s="178">
        <f t="shared" si="66"/>
        <v>24.25</v>
      </c>
      <c r="K38" s="454">
        <f t="shared" si="67"/>
        <v>36.25</v>
      </c>
      <c r="L38" s="454"/>
      <c r="M38" s="223">
        <f t="shared" si="68"/>
        <v>0.66896551724137931</v>
      </c>
      <c r="N38" s="178">
        <f t="shared" si="5"/>
        <v>5.528999999999999</v>
      </c>
      <c r="O38" s="178">
        <f t="shared" si="49"/>
        <v>0.87119999999999997</v>
      </c>
      <c r="P38" s="223">
        <f t="shared" si="69"/>
        <v>0.23037499999999997</v>
      </c>
      <c r="Q38" s="223">
        <f t="shared" si="70"/>
        <v>24</v>
      </c>
      <c r="R38" s="223">
        <f t="shared" si="71"/>
        <v>0.24250000000000002</v>
      </c>
      <c r="S38" s="178">
        <f t="shared" si="72"/>
        <v>215.6998425280072</v>
      </c>
      <c r="T38" s="178">
        <f t="shared" si="73"/>
        <v>24</v>
      </c>
      <c r="U38" s="223">
        <f t="shared" si="74"/>
        <v>0.22847531199131851</v>
      </c>
      <c r="V38" s="223">
        <f t="shared" si="75"/>
        <v>0.8948616386326641</v>
      </c>
      <c r="W38" s="223">
        <f t="shared" si="76"/>
        <v>0.44281813045740082</v>
      </c>
      <c r="X38" s="203">
        <f t="shared" si="77"/>
        <v>350</v>
      </c>
      <c r="Y38" s="454">
        <f t="shared" si="50"/>
        <v>350</v>
      </c>
      <c r="AA38" s="223">
        <f t="shared" si="78"/>
        <v>0.48799916151346817</v>
      </c>
      <c r="AB38" s="179">
        <f t="shared" si="79"/>
        <v>0.94581280788177335</v>
      </c>
      <c r="AC38" s="179">
        <f t="shared" si="80"/>
        <v>8.077227500912576E-2</v>
      </c>
      <c r="AD38" s="179"/>
      <c r="AE38" s="179">
        <f t="shared" si="81"/>
        <v>0.56206185567010303</v>
      </c>
      <c r="AF38" s="563">
        <f t="shared" si="63"/>
        <v>445.40440711412464</v>
      </c>
      <c r="AG38" s="546">
        <f t="shared" si="82"/>
        <v>2.8524639175257726E-2</v>
      </c>
      <c r="AI38" s="179">
        <f t="shared" si="83"/>
        <v>0.33564441728118122</v>
      </c>
      <c r="AJ38" s="179">
        <f t="shared" si="84"/>
        <v>0.33564441728118122</v>
      </c>
      <c r="AK38" s="179">
        <f t="shared" si="85"/>
        <v>1.2338106794675416</v>
      </c>
      <c r="AM38" s="563">
        <f t="shared" si="86"/>
        <v>36.299999999999997</v>
      </c>
      <c r="AN38" s="472">
        <f t="shared" si="87"/>
        <v>350</v>
      </c>
      <c r="AP38">
        <f t="shared" si="88"/>
        <v>36.299999999999997</v>
      </c>
      <c r="AQ38" s="472">
        <f t="shared" si="89"/>
        <v>350</v>
      </c>
      <c r="AR38" s="472"/>
      <c r="AS38" s="6">
        <f t="shared" si="51"/>
        <v>2.8571428571428572</v>
      </c>
      <c r="AT38" s="6">
        <f t="shared" si="90"/>
        <v>1.3146073010179595</v>
      </c>
      <c r="AU38" s="6">
        <f t="shared" si="52"/>
        <v>1.5425355561248977</v>
      </c>
      <c r="AV38" s="6">
        <f t="shared" si="91"/>
        <v>0.65052732421507276</v>
      </c>
      <c r="AW38" s="179">
        <f t="shared" si="53"/>
        <v>0.46011255535628581</v>
      </c>
      <c r="AX38" s="179">
        <f t="shared" si="92"/>
        <v>0.92660526315789493</v>
      </c>
      <c r="AY38" s="179">
        <f t="shared" si="93"/>
        <v>9.0605103377432716E-2</v>
      </c>
      <c r="AZ38" s="179">
        <f t="shared" si="54"/>
        <v>10.226855095545172</v>
      </c>
      <c r="BA38" s="472">
        <f t="shared" si="94"/>
        <v>0.19883435427896637</v>
      </c>
      <c r="BB38" s="6">
        <f t="shared" si="95"/>
        <v>0.19647031820117114</v>
      </c>
      <c r="BC38" s="6"/>
      <c r="BD38" s="179">
        <f t="shared" si="55"/>
        <v>0.13144704966941953</v>
      </c>
      <c r="BE38" s="179">
        <f t="shared" si="96"/>
        <v>0.14238702451609273</v>
      </c>
      <c r="BF38" s="179"/>
      <c r="BG38" s="546">
        <f t="shared" si="97"/>
        <v>6.0474144033781955E-3</v>
      </c>
      <c r="BH38" s="546">
        <f t="shared" si="98"/>
        <v>3.1938664081912399E-2</v>
      </c>
      <c r="BI38" s="546">
        <f t="shared" si="99"/>
        <v>4.3749999999999995E-3</v>
      </c>
      <c r="BJ38" s="546">
        <f t="shared" si="100"/>
        <v>2.2996093750000002E-2</v>
      </c>
      <c r="BK38">
        <f t="shared" si="101"/>
        <v>3.48E-3</v>
      </c>
      <c r="BL38" s="546">
        <f t="shared" si="102"/>
        <v>6.898171853504026E-2</v>
      </c>
      <c r="BM38" s="472">
        <f t="shared" si="56"/>
        <v>68.981718535040258</v>
      </c>
      <c r="BN38" s="546">
        <f t="shared" si="103"/>
        <v>1.0889999999999999E-2</v>
      </c>
      <c r="BO38" s="546"/>
      <c r="BQ38" s="472">
        <f t="shared" si="57"/>
        <v>10.889999999999999</v>
      </c>
      <c r="BR38" s="546">
        <f t="shared" si="104"/>
        <v>3.4556653733589689E-3</v>
      </c>
      <c r="BS38" s="546">
        <f t="shared" si="105"/>
        <v>4.0548129501092782E-3</v>
      </c>
      <c r="BT38" s="546">
        <f t="shared" si="106"/>
        <v>7.4789165140592756E-3</v>
      </c>
      <c r="BU38" s="546">
        <f t="shared" si="107"/>
        <v>1.49984064540523E-2</v>
      </c>
      <c r="BV38" s="546">
        <f t="shared" si="108"/>
        <v>7.294552071668535E-3</v>
      </c>
      <c r="BW38" s="472">
        <f t="shared" si="58"/>
        <v>22.292958525720838</v>
      </c>
      <c r="BX38" s="179">
        <f t="shared" si="59"/>
        <v>0.1021646770607611</v>
      </c>
      <c r="BY38" s="6">
        <f t="shared" si="60"/>
        <v>0.87119999999999997</v>
      </c>
      <c r="BZ38" s="179">
        <f t="shared" si="61"/>
        <v>0.89503967067177259</v>
      </c>
      <c r="CA38" s="6">
        <f t="shared" si="62"/>
        <v>89.503967067177257</v>
      </c>
      <c r="CD38" s="581">
        <f t="shared" si="109"/>
        <v>-50</v>
      </c>
      <c r="CE38">
        <f t="shared" si="110"/>
        <v>-50</v>
      </c>
    </row>
    <row r="39" spans="5:83" x14ac:dyDescent="0.2">
      <c r="E39" s="176">
        <v>34</v>
      </c>
      <c r="F39" s="223">
        <f t="shared" si="111"/>
        <v>3.7400000000000003E-2</v>
      </c>
      <c r="G39" s="223"/>
      <c r="H39" s="223">
        <f t="shared" si="64"/>
        <v>0.89760000000000006</v>
      </c>
      <c r="I39" s="559">
        <f t="shared" si="65"/>
        <v>12</v>
      </c>
      <c r="J39" s="178">
        <f t="shared" si="66"/>
        <v>24.25</v>
      </c>
      <c r="K39" s="454">
        <f t="shared" si="67"/>
        <v>36.25</v>
      </c>
      <c r="L39" s="454"/>
      <c r="M39" s="223">
        <f t="shared" si="68"/>
        <v>0.66896551724137931</v>
      </c>
      <c r="N39" s="178">
        <f t="shared" si="5"/>
        <v>5.528999999999999</v>
      </c>
      <c r="O39" s="178">
        <f t="shared" si="49"/>
        <v>0.89760000000000006</v>
      </c>
      <c r="P39" s="223">
        <f t="shared" si="69"/>
        <v>0.23037499999999997</v>
      </c>
      <c r="Q39" s="223">
        <f t="shared" si="70"/>
        <v>24</v>
      </c>
      <c r="R39" s="223">
        <f t="shared" si="71"/>
        <v>0.24250000000000002</v>
      </c>
      <c r="S39" s="178">
        <f t="shared" si="72"/>
        <v>209.00364148090253</v>
      </c>
      <c r="T39" s="178">
        <f t="shared" si="73"/>
        <v>24</v>
      </c>
      <c r="U39" s="223">
        <f t="shared" si="74"/>
        <v>0.23539880629408577</v>
      </c>
      <c r="V39" s="223">
        <f t="shared" si="75"/>
        <v>0.92197865798516931</v>
      </c>
      <c r="W39" s="223">
        <f t="shared" si="76"/>
        <v>0.45623686168338273</v>
      </c>
      <c r="X39" s="203">
        <f t="shared" si="77"/>
        <v>350</v>
      </c>
      <c r="Y39" s="454">
        <f t="shared" si="50"/>
        <v>350</v>
      </c>
      <c r="AA39" s="223">
        <f t="shared" si="78"/>
        <v>0.48799916151346817</v>
      </c>
      <c r="AB39" s="179">
        <f t="shared" si="79"/>
        <v>0.94581280788177335</v>
      </c>
      <c r="AC39" s="179">
        <f t="shared" si="80"/>
        <v>8.077227500912576E-2</v>
      </c>
      <c r="AD39" s="179"/>
      <c r="AE39" s="179">
        <f t="shared" si="81"/>
        <v>0.56206185567010303</v>
      </c>
      <c r="AF39" s="563">
        <f t="shared" si="63"/>
        <v>458.90151036000725</v>
      </c>
      <c r="AG39" s="546">
        <f t="shared" si="82"/>
        <v>2.8524639175257726E-2</v>
      </c>
      <c r="AI39" s="179">
        <f t="shared" si="83"/>
        <v>0.3406919849885206</v>
      </c>
      <c r="AJ39" s="179">
        <f t="shared" si="84"/>
        <v>0.3406919849885206</v>
      </c>
      <c r="AK39" s="179">
        <f t="shared" si="85"/>
        <v>1.2375496185100152</v>
      </c>
      <c r="AM39" s="563">
        <f t="shared" si="86"/>
        <v>37.400000000000006</v>
      </c>
      <c r="AN39" s="472">
        <f t="shared" si="87"/>
        <v>350</v>
      </c>
      <c r="AP39">
        <f t="shared" si="88"/>
        <v>37.400000000000006</v>
      </c>
      <c r="AQ39" s="472">
        <f t="shared" si="89"/>
        <v>350</v>
      </c>
      <c r="AR39" s="472"/>
      <c r="AS39" s="6">
        <f t="shared" si="51"/>
        <v>2.8571428571428572</v>
      </c>
      <c r="AT39" s="6">
        <f t="shared" si="90"/>
        <v>1.334376941205039</v>
      </c>
      <c r="AU39" s="6">
        <f t="shared" si="52"/>
        <v>1.5227659159378182</v>
      </c>
      <c r="AV39" s="6">
        <f t="shared" si="91"/>
        <v>0.66031023894682328</v>
      </c>
      <c r="AW39" s="179">
        <f t="shared" si="53"/>
        <v>0.46703192942176364</v>
      </c>
      <c r="AX39" s="179">
        <f t="shared" si="92"/>
        <v>0.9546842105263158</v>
      </c>
      <c r="AY39" s="179">
        <f t="shared" si="93"/>
        <v>9.0788974950400642E-2</v>
      </c>
      <c r="AZ39" s="179">
        <f t="shared" si="54"/>
        <v>10.515420083197039</v>
      </c>
      <c r="BA39" s="472">
        <f t="shared" si="94"/>
        <v>0.2079404066711186</v>
      </c>
      <c r="BB39" s="6">
        <f t="shared" si="95"/>
        <v>0.19982963247745403</v>
      </c>
      <c r="BC39" s="6"/>
      <c r="BD39" s="179">
        <f t="shared" si="55"/>
        <v>0.13442330707330011</v>
      </c>
      <c r="BE39" s="179">
        <f t="shared" si="96"/>
        <v>0.14359915526892925</v>
      </c>
      <c r="BF39" s="179"/>
      <c r="BG39" s="546">
        <f t="shared" si="97"/>
        <v>6.3243689195829561E-3</v>
      </c>
      <c r="BH39" s="546">
        <f t="shared" si="98"/>
        <v>3.2418971696563915E-2</v>
      </c>
      <c r="BI39" s="546">
        <f t="shared" si="99"/>
        <v>4.3749999999999995E-3</v>
      </c>
      <c r="BJ39" s="546">
        <f t="shared" si="100"/>
        <v>2.2996093750000002E-2</v>
      </c>
      <c r="BK39">
        <f t="shared" si="101"/>
        <v>3.48E-3</v>
      </c>
      <c r="BL39" s="546">
        <f t="shared" si="102"/>
        <v>6.974727812112512E-2</v>
      </c>
      <c r="BM39" s="472">
        <f t="shared" si="56"/>
        <v>69.74727812112512</v>
      </c>
      <c r="BN39" s="546">
        <f t="shared" si="103"/>
        <v>1.1220000000000001E-2</v>
      </c>
      <c r="BO39" s="546"/>
      <c r="BQ39" s="472">
        <f t="shared" si="57"/>
        <v>11.22</v>
      </c>
      <c r="BR39" s="546">
        <f t="shared" si="104"/>
        <v>3.6139250969045469E-3</v>
      </c>
      <c r="BS39" s="546">
        <f t="shared" si="105"/>
        <v>4.1241434787900105E-3</v>
      </c>
      <c r="BT39" s="546">
        <f t="shared" si="106"/>
        <v>7.7632738597655073E-3</v>
      </c>
      <c r="BU39" s="546">
        <f t="shared" si="107"/>
        <v>1.551094441558499E-2</v>
      </c>
      <c r="BV39" s="546">
        <f t="shared" si="108"/>
        <v>7.5155991041433385E-3</v>
      </c>
      <c r="BW39" s="472">
        <f t="shared" si="58"/>
        <v>23.026543519728328</v>
      </c>
      <c r="BX39" s="179">
        <f t="shared" si="59"/>
        <v>0.10399382164085345</v>
      </c>
      <c r="BY39" s="6">
        <f t="shared" si="60"/>
        <v>0.89760000000000006</v>
      </c>
      <c r="BZ39" s="179">
        <f t="shared" si="61"/>
        <v>0.89617166221084876</v>
      </c>
      <c r="CA39" s="6">
        <f t="shared" si="62"/>
        <v>89.617166221084872</v>
      </c>
      <c r="CD39" s="581">
        <f t="shared" si="109"/>
        <v>-50</v>
      </c>
      <c r="CE39">
        <f t="shared" si="110"/>
        <v>-50</v>
      </c>
    </row>
    <row r="40" spans="5:83" x14ac:dyDescent="0.2">
      <c r="E40" s="176">
        <v>35</v>
      </c>
      <c r="F40" s="223">
        <f t="shared" si="111"/>
        <v>3.85E-2</v>
      </c>
      <c r="G40" s="223"/>
      <c r="H40" s="223">
        <f t="shared" si="64"/>
        <v>0.92399999999999993</v>
      </c>
      <c r="I40" s="559">
        <f t="shared" si="65"/>
        <v>12</v>
      </c>
      <c r="J40" s="178">
        <f t="shared" si="66"/>
        <v>24.25</v>
      </c>
      <c r="K40" s="454">
        <f t="shared" si="67"/>
        <v>36.25</v>
      </c>
      <c r="L40" s="454"/>
      <c r="M40" s="223">
        <f t="shared" si="68"/>
        <v>0.66896551724137931</v>
      </c>
      <c r="N40" s="178">
        <f t="shared" si="5"/>
        <v>5.528999999999999</v>
      </c>
      <c r="O40" s="178">
        <f t="shared" si="49"/>
        <v>0.92399999999999993</v>
      </c>
      <c r="P40" s="223">
        <f t="shared" si="69"/>
        <v>0.23037499999999997</v>
      </c>
      <c r="Q40" s="223">
        <f t="shared" si="70"/>
        <v>24</v>
      </c>
      <c r="R40" s="223">
        <f t="shared" si="71"/>
        <v>0.24250000000000002</v>
      </c>
      <c r="S40" s="178">
        <f t="shared" si="72"/>
        <v>202.69010736189657</v>
      </c>
      <c r="T40" s="178">
        <f t="shared" si="73"/>
        <v>24</v>
      </c>
      <c r="U40" s="223">
        <f t="shared" si="74"/>
        <v>0.24232230059685297</v>
      </c>
      <c r="V40" s="223">
        <f t="shared" si="75"/>
        <v>0.94909567733767408</v>
      </c>
      <c r="W40" s="223">
        <f t="shared" si="76"/>
        <v>0.46965559290936443</v>
      </c>
      <c r="X40" s="203">
        <f t="shared" si="77"/>
        <v>350</v>
      </c>
      <c r="Y40" s="454">
        <f t="shared" si="50"/>
        <v>350</v>
      </c>
      <c r="AA40" s="223">
        <f t="shared" si="78"/>
        <v>0.48799916151346817</v>
      </c>
      <c r="AB40" s="179">
        <f t="shared" si="79"/>
        <v>0.94581280788177335</v>
      </c>
      <c r="AC40" s="179">
        <f t="shared" si="80"/>
        <v>8.077227500912576E-2</v>
      </c>
      <c r="AD40" s="179"/>
      <c r="AE40" s="179">
        <f t="shared" si="81"/>
        <v>0.56206185567010303</v>
      </c>
      <c r="AF40" s="563">
        <f t="shared" ref="AF40:AF71" si="112">MAX(10000,F40/(0.5*AE40/1000000*Isw_min*Nps))/1000</f>
        <v>472.39861360588975</v>
      </c>
      <c r="AG40" s="546">
        <f t="shared" si="82"/>
        <v>2.8524639175257726E-2</v>
      </c>
      <c r="AI40" s="179">
        <f t="shared" si="83"/>
        <v>0.34566585370674524</v>
      </c>
      <c r="AJ40" s="179">
        <f t="shared" si="84"/>
        <v>0.34566585370674524</v>
      </c>
      <c r="AK40" s="179">
        <f t="shared" si="85"/>
        <v>1.2412339657087001</v>
      </c>
      <c r="AM40" s="563">
        <f t="shared" si="86"/>
        <v>38.5</v>
      </c>
      <c r="AN40" s="472">
        <f t="shared" si="87"/>
        <v>350</v>
      </c>
      <c r="AP40">
        <f t="shared" si="88"/>
        <v>38.5</v>
      </c>
      <c r="AQ40" s="472">
        <f t="shared" si="89"/>
        <v>350</v>
      </c>
      <c r="AR40" s="472"/>
      <c r="AS40" s="6">
        <f t="shared" si="51"/>
        <v>2.8571428571428572</v>
      </c>
      <c r="AT40" s="6">
        <f t="shared" si="90"/>
        <v>1.3538579270180855</v>
      </c>
      <c r="AU40" s="6">
        <f t="shared" si="52"/>
        <v>1.5032849301247717</v>
      </c>
      <c r="AV40" s="6">
        <f t="shared" si="91"/>
        <v>0.66995031440070207</v>
      </c>
      <c r="AW40" s="179">
        <f t="shared" si="53"/>
        <v>0.47385027445632993</v>
      </c>
      <c r="AX40" s="179">
        <f t="shared" si="92"/>
        <v>0.98276315789473678</v>
      </c>
      <c r="AY40" s="179">
        <f t="shared" si="93"/>
        <v>9.0935997028811194E-2</v>
      </c>
      <c r="AZ40" s="179">
        <f t="shared" si="54"/>
        <v>10.80719615999117</v>
      </c>
      <c r="BA40" s="472">
        <f t="shared" si="94"/>
        <v>0.21718137579248456</v>
      </c>
      <c r="BB40" s="6">
        <f t="shared" si="95"/>
        <v>0.20307533266597791</v>
      </c>
      <c r="BC40" s="6"/>
      <c r="BD40" s="179">
        <f t="shared" si="55"/>
        <v>0.13737775696661725</v>
      </c>
      <c r="BE40" s="179">
        <f t="shared" si="96"/>
        <v>0.14476065083587247</v>
      </c>
      <c r="BF40" s="179"/>
      <c r="BG40" s="546">
        <f t="shared" si="97"/>
        <v>6.6054268382126332E-3</v>
      </c>
      <c r="BH40" s="546">
        <f t="shared" si="98"/>
        <v>3.2892266391782471E-2</v>
      </c>
      <c r="BI40" s="546">
        <f t="shared" si="99"/>
        <v>4.3749999999999995E-3</v>
      </c>
      <c r="BJ40" s="546">
        <f t="shared" si="100"/>
        <v>2.2996093750000002E-2</v>
      </c>
      <c r="BK40">
        <f t="shared" si="101"/>
        <v>3.48E-3</v>
      </c>
      <c r="BL40" s="546">
        <f t="shared" si="102"/>
        <v>7.0510169273389295E-2</v>
      </c>
      <c r="BM40" s="472">
        <f t="shared" si="56"/>
        <v>70.510169273389295</v>
      </c>
      <c r="BN40" s="546">
        <f t="shared" si="103"/>
        <v>1.155E-2</v>
      </c>
      <c r="BO40" s="546"/>
      <c r="BQ40" s="472">
        <f t="shared" si="57"/>
        <v>11.549999999999999</v>
      </c>
      <c r="BR40" s="546">
        <f t="shared" si="104"/>
        <v>3.7745296218357908E-3</v>
      </c>
      <c r="BS40" s="546">
        <f t="shared" si="105"/>
        <v>4.191129206085077E-3</v>
      </c>
      <c r="BT40" s="546">
        <f t="shared" si="106"/>
        <v>8.0497300399767283E-3</v>
      </c>
      <c r="BU40" s="546">
        <f t="shared" si="107"/>
        <v>1.6025601225647661E-2</v>
      </c>
      <c r="BV40" s="546">
        <f t="shared" si="108"/>
        <v>7.7366461366181411E-3</v>
      </c>
      <c r="BW40" s="472">
        <f t="shared" si="58"/>
        <v>23.7622473622658</v>
      </c>
      <c r="BX40" s="179">
        <f t="shared" si="59"/>
        <v>0.10582241663565511</v>
      </c>
      <c r="BY40" s="6">
        <f t="shared" si="60"/>
        <v>0.92399999999999993</v>
      </c>
      <c r="BZ40" s="179">
        <f t="shared" si="61"/>
        <v>0.89724207307375548</v>
      </c>
      <c r="CA40" s="6">
        <f t="shared" si="62"/>
        <v>89.724207307375551</v>
      </c>
      <c r="CD40" s="581">
        <f t="shared" si="109"/>
        <v>-50</v>
      </c>
      <c r="CE40">
        <f t="shared" si="110"/>
        <v>-50</v>
      </c>
    </row>
    <row r="41" spans="5:83" x14ac:dyDescent="0.2">
      <c r="E41" s="176">
        <v>36</v>
      </c>
      <c r="F41" s="223">
        <f t="shared" si="111"/>
        <v>3.9599999999999996E-2</v>
      </c>
      <c r="G41" s="223"/>
      <c r="H41" s="223">
        <f t="shared" si="64"/>
        <v>0.95039999999999991</v>
      </c>
      <c r="I41" s="559">
        <f t="shared" si="65"/>
        <v>12</v>
      </c>
      <c r="J41" s="178">
        <f t="shared" si="66"/>
        <v>24.25</v>
      </c>
      <c r="K41" s="454">
        <f t="shared" si="67"/>
        <v>36.25</v>
      </c>
      <c r="L41" s="454"/>
      <c r="M41" s="223">
        <f t="shared" si="68"/>
        <v>0.66896551724137931</v>
      </c>
      <c r="N41" s="178">
        <f t="shared" si="5"/>
        <v>5.528999999999999</v>
      </c>
      <c r="O41" s="178">
        <f t="shared" si="49"/>
        <v>0.95039999999999991</v>
      </c>
      <c r="P41" s="223">
        <f t="shared" si="69"/>
        <v>0.23037499999999997</v>
      </c>
      <c r="Q41" s="223">
        <f t="shared" si="70"/>
        <v>24</v>
      </c>
      <c r="R41" s="223">
        <f t="shared" si="71"/>
        <v>0.24250000000000002</v>
      </c>
      <c r="S41" s="178">
        <f t="shared" si="72"/>
        <v>196.72735138949361</v>
      </c>
      <c r="T41" s="178">
        <f t="shared" si="73"/>
        <v>24</v>
      </c>
      <c r="U41" s="223">
        <f t="shared" si="74"/>
        <v>0.24924579489962018</v>
      </c>
      <c r="V41" s="223">
        <f t="shared" si="75"/>
        <v>0.97621269669017896</v>
      </c>
      <c r="W41" s="223">
        <f t="shared" si="76"/>
        <v>0.48307432413534623</v>
      </c>
      <c r="X41" s="203">
        <f t="shared" si="77"/>
        <v>350</v>
      </c>
      <c r="Y41" s="454">
        <f t="shared" si="50"/>
        <v>350</v>
      </c>
      <c r="AA41" s="223">
        <f t="shared" si="78"/>
        <v>0.48799916151346817</v>
      </c>
      <c r="AB41" s="179">
        <f t="shared" si="79"/>
        <v>0.94581280788177335</v>
      </c>
      <c r="AC41" s="179">
        <f t="shared" si="80"/>
        <v>8.077227500912576E-2</v>
      </c>
      <c r="AD41" s="179"/>
      <c r="AE41" s="179">
        <f t="shared" si="81"/>
        <v>0.56206185567010303</v>
      </c>
      <c r="AF41" s="563">
        <f t="shared" si="112"/>
        <v>485.89571685177225</v>
      </c>
      <c r="AG41" s="546">
        <f t="shared" si="82"/>
        <v>2.8524639175257726E-2</v>
      </c>
      <c r="AI41" s="179">
        <f t="shared" si="83"/>
        <v>0.35056916036954489</v>
      </c>
      <c r="AJ41" s="179">
        <f t="shared" si="84"/>
        <v>0.35056916036954489</v>
      </c>
      <c r="AK41" s="179">
        <f t="shared" si="85"/>
        <v>1.2448660447181814</v>
      </c>
      <c r="AM41" s="563">
        <f t="shared" si="86"/>
        <v>39.599999999999994</v>
      </c>
      <c r="AN41" s="472">
        <f t="shared" si="87"/>
        <v>350</v>
      </c>
      <c r="AP41">
        <f t="shared" si="88"/>
        <v>39.599999999999994</v>
      </c>
      <c r="AQ41" s="472">
        <f t="shared" si="89"/>
        <v>350</v>
      </c>
      <c r="AR41" s="472"/>
      <c r="AS41" s="6">
        <f t="shared" si="51"/>
        <v>2.8571428571428572</v>
      </c>
      <c r="AT41" s="6">
        <f t="shared" si="90"/>
        <v>1.3730625447807174</v>
      </c>
      <c r="AU41" s="6">
        <f t="shared" si="52"/>
        <v>1.4840803123621398</v>
      </c>
      <c r="AV41" s="6">
        <f t="shared" si="91"/>
        <v>0.67945363040695306</v>
      </c>
      <c r="AW41" s="179">
        <f t="shared" si="53"/>
        <v>0.48057189067325107</v>
      </c>
      <c r="AX41" s="179">
        <f t="shared" si="92"/>
        <v>1.010842105263158</v>
      </c>
      <c r="AY41" s="179">
        <f t="shared" si="93"/>
        <v>9.1047738079509277E-2</v>
      </c>
      <c r="AZ41" s="179">
        <f t="shared" si="54"/>
        <v>11.102330783664495</v>
      </c>
      <c r="BA41" s="472">
        <f t="shared" si="94"/>
        <v>0.22655531988881836</v>
      </c>
      <c r="BB41" s="6">
        <f t="shared" si="95"/>
        <v>0.20620905392821307</v>
      </c>
      <c r="BC41" s="6"/>
      <c r="BD41" s="179">
        <f t="shared" si="55"/>
        <v>0.14031117562765991</v>
      </c>
      <c r="BE41" s="179">
        <f t="shared" si="96"/>
        <v>0.14587329911508778</v>
      </c>
      <c r="BF41" s="179"/>
      <c r="BG41" s="546">
        <f t="shared" si="97"/>
        <v>6.8905291021056072E-3</v>
      </c>
      <c r="BH41" s="546">
        <f t="shared" si="98"/>
        <v>3.3358846666414504E-2</v>
      </c>
      <c r="BI41" s="546">
        <f t="shared" si="99"/>
        <v>4.3749999999999995E-3</v>
      </c>
      <c r="BJ41" s="546">
        <f t="shared" si="100"/>
        <v>2.2996093750000002E-2</v>
      </c>
      <c r="BK41">
        <f t="shared" si="101"/>
        <v>3.48E-3</v>
      </c>
      <c r="BL41" s="546">
        <f t="shared" si="102"/>
        <v>7.127063302506631E-2</v>
      </c>
      <c r="BM41" s="472">
        <f t="shared" si="56"/>
        <v>71.270633025066303</v>
      </c>
      <c r="BN41" s="546">
        <f t="shared" si="103"/>
        <v>1.1879999999999998E-2</v>
      </c>
      <c r="BO41" s="546"/>
      <c r="BQ41" s="472">
        <f t="shared" si="57"/>
        <v>11.879999999999999</v>
      </c>
      <c r="BR41" s="546">
        <f t="shared" si="104"/>
        <v>3.9374452012032046E-3</v>
      </c>
      <c r="BS41" s="546">
        <f t="shared" si="105"/>
        <v>4.2558038789439747E-3</v>
      </c>
      <c r="BT41" s="546">
        <f t="shared" si="106"/>
        <v>8.3382399061490784E-3</v>
      </c>
      <c r="BU41" s="546">
        <f t="shared" si="107"/>
        <v>1.6542331821894917E-2</v>
      </c>
      <c r="BV41" s="546">
        <f t="shared" si="108"/>
        <v>7.957693169092948E-3</v>
      </c>
      <c r="BW41" s="472">
        <f t="shared" si="58"/>
        <v>24.500024990987864</v>
      </c>
      <c r="BX41" s="179">
        <f t="shared" si="59"/>
        <v>0.10765065801605418</v>
      </c>
      <c r="BY41" s="6">
        <f t="shared" si="60"/>
        <v>0.95039999999999991</v>
      </c>
      <c r="BZ41" s="179">
        <f t="shared" si="61"/>
        <v>0.89825566743854268</v>
      </c>
      <c r="CA41" s="6">
        <f t="shared" si="62"/>
        <v>89.825566743854267</v>
      </c>
      <c r="CD41" s="581">
        <f t="shared" si="109"/>
        <v>-50</v>
      </c>
      <c r="CE41">
        <f t="shared" si="110"/>
        <v>-50</v>
      </c>
    </row>
    <row r="42" spans="5:83" x14ac:dyDescent="0.2">
      <c r="E42" s="176">
        <v>37</v>
      </c>
      <c r="F42" s="223">
        <f t="shared" si="111"/>
        <v>4.07E-2</v>
      </c>
      <c r="G42" s="223"/>
      <c r="H42" s="223">
        <f t="shared" si="64"/>
        <v>0.9768</v>
      </c>
      <c r="I42" s="559">
        <f t="shared" si="65"/>
        <v>12</v>
      </c>
      <c r="J42" s="178">
        <f t="shared" si="66"/>
        <v>24.25</v>
      </c>
      <c r="K42" s="454">
        <f t="shared" si="67"/>
        <v>36.25</v>
      </c>
      <c r="L42" s="454"/>
      <c r="M42" s="223">
        <f t="shared" si="68"/>
        <v>0.66896551724137931</v>
      </c>
      <c r="N42" s="178">
        <f t="shared" si="5"/>
        <v>5.528999999999999</v>
      </c>
      <c r="O42" s="178">
        <f t="shared" si="49"/>
        <v>0.9768</v>
      </c>
      <c r="P42" s="223">
        <f t="shared" si="69"/>
        <v>0.23037499999999997</v>
      </c>
      <c r="Q42" s="223">
        <f t="shared" si="70"/>
        <v>24</v>
      </c>
      <c r="R42" s="223">
        <f t="shared" si="71"/>
        <v>0.24250000000000002</v>
      </c>
      <c r="S42" s="178">
        <f t="shared" si="72"/>
        <v>191.08693221884474</v>
      </c>
      <c r="T42" s="178">
        <f t="shared" si="73"/>
        <v>24</v>
      </c>
      <c r="U42" s="223">
        <f t="shared" si="74"/>
        <v>0.25616928920238746</v>
      </c>
      <c r="V42" s="223">
        <f t="shared" si="75"/>
        <v>1.0033297160426842</v>
      </c>
      <c r="W42" s="223">
        <f t="shared" si="76"/>
        <v>0.49649305536132821</v>
      </c>
      <c r="X42" s="203">
        <f t="shared" si="77"/>
        <v>350</v>
      </c>
      <c r="Y42" s="454">
        <f t="shared" si="50"/>
        <v>350</v>
      </c>
      <c r="AA42" s="223">
        <f t="shared" si="78"/>
        <v>0.48799916151346817</v>
      </c>
      <c r="AB42" s="179">
        <f t="shared" si="79"/>
        <v>0.94581280788177335</v>
      </c>
      <c r="AC42" s="179">
        <f t="shared" si="80"/>
        <v>8.077227500912576E-2</v>
      </c>
      <c r="AD42" s="179"/>
      <c r="AE42" s="179">
        <f t="shared" si="81"/>
        <v>0.56206185567010303</v>
      </c>
      <c r="AF42" s="563">
        <f t="shared" si="112"/>
        <v>499.39282009765486</v>
      </c>
      <c r="AG42" s="546">
        <f t="shared" si="82"/>
        <v>2.8524639175257726E-2</v>
      </c>
      <c r="AI42" s="179">
        <f t="shared" si="83"/>
        <v>0.35540482549566249</v>
      </c>
      <c r="AJ42" s="179">
        <f t="shared" si="84"/>
        <v>0.35540482549566249</v>
      </c>
      <c r="AK42" s="179">
        <f t="shared" si="85"/>
        <v>1.2484480188856759</v>
      </c>
      <c r="AM42" s="563">
        <f t="shared" si="86"/>
        <v>40.700000000000003</v>
      </c>
      <c r="AN42" s="472">
        <f t="shared" si="87"/>
        <v>350</v>
      </c>
      <c r="AP42">
        <f t="shared" si="88"/>
        <v>40.700000000000003</v>
      </c>
      <c r="AQ42" s="472">
        <f t="shared" si="89"/>
        <v>350</v>
      </c>
      <c r="AR42" s="472"/>
      <c r="AS42" s="6">
        <f t="shared" si="51"/>
        <v>2.8571428571428572</v>
      </c>
      <c r="AT42" s="6">
        <f t="shared" si="90"/>
        <v>1.3920022331913449</v>
      </c>
      <c r="AU42" s="6">
        <f t="shared" si="52"/>
        <v>1.4651406239515123</v>
      </c>
      <c r="AV42" s="6">
        <f t="shared" si="91"/>
        <v>0.68882584735241803</v>
      </c>
      <c r="AW42" s="179">
        <f t="shared" si="53"/>
        <v>0.48720078161697067</v>
      </c>
      <c r="AX42" s="179">
        <f t="shared" si="92"/>
        <v>1.0389210526315789</v>
      </c>
      <c r="AY42" s="179">
        <f t="shared" si="93"/>
        <v>9.1125658361866327E-2</v>
      </c>
      <c r="AZ42" s="179">
        <f t="shared" si="54"/>
        <v>11.400971705531619</v>
      </c>
      <c r="BA42" s="472">
        <f t="shared" si="94"/>
        <v>0.23606037871203223</v>
      </c>
      <c r="BB42" s="6">
        <f t="shared" si="95"/>
        <v>0.20923236278886506</v>
      </c>
      <c r="BC42" s="6"/>
      <c r="BD42" s="179">
        <f t="shared" si="55"/>
        <v>0.14322429096705791</v>
      </c>
      <c r="BE42" s="179">
        <f t="shared" si="96"/>
        <v>0.14693875982480242</v>
      </c>
      <c r="BF42" s="179"/>
      <c r="BG42" s="546">
        <f t="shared" si="97"/>
        <v>7.1796191330557634E-3</v>
      </c>
      <c r="BH42" s="546">
        <f t="shared" si="98"/>
        <v>3.381899042607163E-2</v>
      </c>
      <c r="BI42" s="546">
        <f t="shared" si="99"/>
        <v>4.3749999999999995E-3</v>
      </c>
      <c r="BJ42" s="546">
        <f t="shared" si="100"/>
        <v>2.2996093750000002E-2</v>
      </c>
      <c r="BK42">
        <f t="shared" si="101"/>
        <v>3.48E-3</v>
      </c>
      <c r="BL42" s="546">
        <f t="shared" si="102"/>
        <v>7.2028892323791519E-2</v>
      </c>
      <c r="BM42" s="472">
        <f t="shared" si="56"/>
        <v>72.028892323791524</v>
      </c>
      <c r="BN42" s="546">
        <f t="shared" si="103"/>
        <v>1.221E-2</v>
      </c>
      <c r="BO42" s="546"/>
      <c r="BQ42" s="472">
        <f t="shared" si="57"/>
        <v>12.21</v>
      </c>
      <c r="BR42" s="546">
        <f t="shared" si="104"/>
        <v>4.102639504603294E-3</v>
      </c>
      <c r="BS42" s="546">
        <f t="shared" si="105"/>
        <v>4.3181998277701944E-3</v>
      </c>
      <c r="BT42" s="546">
        <f t="shared" si="106"/>
        <v>8.6287605130121823E-3</v>
      </c>
      <c r="BU42" s="546">
        <f t="shared" si="107"/>
        <v>1.7061093343456058E-2</v>
      </c>
      <c r="BV42" s="546">
        <f t="shared" si="108"/>
        <v>8.1787402015677489E-3</v>
      </c>
      <c r="BW42" s="472">
        <f t="shared" si="58"/>
        <v>25.239833545023806</v>
      </c>
      <c r="BX42" s="179">
        <f t="shared" si="59"/>
        <v>0.10947872586881532</v>
      </c>
      <c r="BY42" s="6">
        <f t="shared" si="60"/>
        <v>0.9768</v>
      </c>
      <c r="BZ42" s="179">
        <f t="shared" si="61"/>
        <v>0.89921672655307383</v>
      </c>
      <c r="CA42" s="6">
        <f t="shared" si="62"/>
        <v>89.92167265530739</v>
      </c>
      <c r="CD42" s="581">
        <f t="shared" si="109"/>
        <v>-50</v>
      </c>
      <c r="CE42">
        <f t="shared" si="110"/>
        <v>-50</v>
      </c>
    </row>
    <row r="43" spans="5:83" x14ac:dyDescent="0.2">
      <c r="E43" s="176">
        <v>38</v>
      </c>
      <c r="F43" s="223">
        <f t="shared" si="111"/>
        <v>4.1800000000000004E-2</v>
      </c>
      <c r="G43" s="223"/>
      <c r="H43" s="223">
        <f t="shared" si="64"/>
        <v>1.0032000000000001</v>
      </c>
      <c r="I43" s="559">
        <f t="shared" si="65"/>
        <v>12</v>
      </c>
      <c r="J43" s="178">
        <f t="shared" si="66"/>
        <v>24.25</v>
      </c>
      <c r="K43" s="454">
        <f t="shared" si="67"/>
        <v>36.25</v>
      </c>
      <c r="L43" s="454"/>
      <c r="M43" s="223">
        <f t="shared" si="68"/>
        <v>0.66896551724137931</v>
      </c>
      <c r="N43" s="178">
        <f t="shared" si="5"/>
        <v>5.528999999999999</v>
      </c>
      <c r="O43" s="178">
        <f t="shared" si="49"/>
        <v>1.0032000000000001</v>
      </c>
      <c r="P43" s="223">
        <f t="shared" si="69"/>
        <v>0.23037499999999997</v>
      </c>
      <c r="Q43" s="223">
        <f t="shared" si="70"/>
        <v>24</v>
      </c>
      <c r="R43" s="223">
        <f t="shared" si="71"/>
        <v>0.24250000000000002</v>
      </c>
      <c r="S43" s="178">
        <f t="shared" si="72"/>
        <v>185.74340233166936</v>
      </c>
      <c r="T43" s="178">
        <f t="shared" si="73"/>
        <v>24</v>
      </c>
      <c r="U43" s="223">
        <f t="shared" si="74"/>
        <v>0.26309278350515469</v>
      </c>
      <c r="V43" s="223">
        <f t="shared" si="75"/>
        <v>1.0304467353951892</v>
      </c>
      <c r="W43" s="223">
        <f t="shared" si="76"/>
        <v>0.50991178658731007</v>
      </c>
      <c r="X43" s="203">
        <f t="shared" si="77"/>
        <v>350</v>
      </c>
      <c r="Y43" s="454">
        <f t="shared" si="50"/>
        <v>350</v>
      </c>
      <c r="AA43" s="223">
        <f t="shared" si="78"/>
        <v>0.48799916151346817</v>
      </c>
      <c r="AB43" s="179">
        <f t="shared" si="79"/>
        <v>0.94581280788177335</v>
      </c>
      <c r="AC43" s="179">
        <f t="shared" si="80"/>
        <v>8.077227500912576E-2</v>
      </c>
      <c r="AD43" s="179"/>
      <c r="AE43" s="179">
        <f t="shared" si="81"/>
        <v>0.56206185567010303</v>
      </c>
      <c r="AF43" s="563">
        <f t="shared" si="112"/>
        <v>512.88992334353748</v>
      </c>
      <c r="AG43" s="546">
        <f t="shared" si="82"/>
        <v>2.8524639175257726E-2</v>
      </c>
      <c r="AI43" s="179">
        <f t="shared" si="83"/>
        <v>0.36017557353184987</v>
      </c>
      <c r="AJ43" s="179">
        <f t="shared" si="84"/>
        <v>0.36017557353184987</v>
      </c>
      <c r="AK43" s="179">
        <f t="shared" si="85"/>
        <v>1.2519819063198887</v>
      </c>
      <c r="AM43" s="563">
        <f t="shared" si="86"/>
        <v>41.800000000000004</v>
      </c>
      <c r="AN43" s="472">
        <f t="shared" si="87"/>
        <v>350</v>
      </c>
      <c r="AP43">
        <f t="shared" si="88"/>
        <v>41.800000000000004</v>
      </c>
      <c r="AQ43" s="472">
        <f t="shared" si="89"/>
        <v>350</v>
      </c>
      <c r="AR43" s="472"/>
      <c r="AS43" s="6">
        <f t="shared" si="51"/>
        <v>2.8571428571428572</v>
      </c>
      <c r="AT43" s="6">
        <f t="shared" si="90"/>
        <v>1.4106876629997454</v>
      </c>
      <c r="AU43" s="6">
        <f t="shared" si="52"/>
        <v>1.4464551941431119</v>
      </c>
      <c r="AV43" s="6">
        <f t="shared" si="91"/>
        <v>0.69807224560812142</v>
      </c>
      <c r="AW43" s="179">
        <f t="shared" si="53"/>
        <v>0.49374068204991084</v>
      </c>
      <c r="AX43" s="179">
        <f t="shared" si="92"/>
        <v>1.0670000000000002</v>
      </c>
      <c r="AY43" s="179">
        <f t="shared" si="93"/>
        <v>9.1171120099258249E-2</v>
      </c>
      <c r="AZ43" s="179">
        <f t="shared" si="54"/>
        <v>11.703267425456158</v>
      </c>
      <c r="BA43" s="472">
        <f t="shared" si="94"/>
        <v>0.24569476797245568</v>
      </c>
      <c r="BB43" s="6">
        <f t="shared" si="95"/>
        <v>0.21214676180765643</v>
      </c>
      <c r="BC43" s="6"/>
      <c r="BD43" s="179">
        <f t="shared" si="55"/>
        <v>0.14611778676398249</v>
      </c>
      <c r="BE43" s="179">
        <f t="shared" si="96"/>
        <v>0.14795857634552428</v>
      </c>
      <c r="BF43" s="179"/>
      <c r="BG43" s="546">
        <f t="shared" si="97"/>
        <v>7.4726426630816285E-3</v>
      </c>
      <c r="BH43" s="546">
        <f t="shared" si="98"/>
        <v>3.4272956918890082E-2</v>
      </c>
      <c r="BI43" s="546">
        <f t="shared" si="99"/>
        <v>4.3749999999999995E-3</v>
      </c>
      <c r="BJ43" s="546">
        <f t="shared" si="100"/>
        <v>2.2996093750000002E-2</v>
      </c>
      <c r="BK43">
        <f t="shared" si="101"/>
        <v>3.48E-3</v>
      </c>
      <c r="BL43" s="546">
        <f t="shared" si="102"/>
        <v>7.2785153796837893E-2</v>
      </c>
      <c r="BM43" s="472">
        <f t="shared" si="56"/>
        <v>72.785153796837889</v>
      </c>
      <c r="BN43" s="546">
        <f t="shared" si="103"/>
        <v>1.2540000000000001E-2</v>
      </c>
      <c r="BO43" s="546"/>
      <c r="BQ43" s="472">
        <f t="shared" si="57"/>
        <v>12.540000000000001</v>
      </c>
      <c r="BR43" s="546">
        <f t="shared" si="104"/>
        <v>4.2700815217609307E-3</v>
      </c>
      <c r="BS43" s="546">
        <f t="shared" si="105"/>
        <v>4.3783480628388676E-3</v>
      </c>
      <c r="BT43" s="546">
        <f t="shared" si="106"/>
        <v>8.9212509541688224E-3</v>
      </c>
      <c r="BU43" s="546">
        <f t="shared" si="107"/>
        <v>1.7581844966621515E-2</v>
      </c>
      <c r="BV43" s="546">
        <f t="shared" si="108"/>
        <v>8.3997872340425567E-3</v>
      </c>
      <c r="BW43" s="472">
        <f t="shared" si="58"/>
        <v>25.981632200664073</v>
      </c>
      <c r="BX43" s="179">
        <f t="shared" si="59"/>
        <v>0.11130678599750196</v>
      </c>
      <c r="BY43" s="6">
        <f t="shared" si="60"/>
        <v>1.0032000000000001</v>
      </c>
      <c r="BZ43" s="179">
        <f t="shared" si="61"/>
        <v>0.90012910877175101</v>
      </c>
      <c r="CA43" s="6">
        <f t="shared" si="62"/>
        <v>90.012910877175102</v>
      </c>
      <c r="CD43" s="581">
        <f t="shared" si="109"/>
        <v>-50</v>
      </c>
      <c r="CE43">
        <f t="shared" si="110"/>
        <v>-50</v>
      </c>
    </row>
    <row r="44" spans="5:83" x14ac:dyDescent="0.2">
      <c r="E44" s="176">
        <v>39</v>
      </c>
      <c r="F44" s="223">
        <f t="shared" si="111"/>
        <v>4.2900000000000001E-2</v>
      </c>
      <c r="G44" s="223"/>
      <c r="H44" s="223">
        <f t="shared" si="64"/>
        <v>1.0296000000000001</v>
      </c>
      <c r="I44" s="559">
        <f t="shared" si="65"/>
        <v>12</v>
      </c>
      <c r="J44" s="178">
        <f t="shared" si="66"/>
        <v>24.25</v>
      </c>
      <c r="K44" s="454">
        <f t="shared" si="67"/>
        <v>36.25</v>
      </c>
      <c r="L44" s="454"/>
      <c r="M44" s="223">
        <f t="shared" si="68"/>
        <v>0.66896551724137931</v>
      </c>
      <c r="N44" s="178">
        <f t="shared" si="5"/>
        <v>5.528999999999999</v>
      </c>
      <c r="O44" s="178">
        <f t="shared" si="49"/>
        <v>1.0296000000000001</v>
      </c>
      <c r="P44" s="223">
        <f t="shared" si="69"/>
        <v>0.23037499999999997</v>
      </c>
      <c r="Q44" s="223">
        <f t="shared" si="70"/>
        <v>24</v>
      </c>
      <c r="R44" s="223">
        <f t="shared" si="71"/>
        <v>0.24250000000000002</v>
      </c>
      <c r="S44" s="178">
        <f t="shared" si="72"/>
        <v>180.67392421234186</v>
      </c>
      <c r="T44" s="178">
        <f t="shared" si="73"/>
        <v>24</v>
      </c>
      <c r="U44" s="223">
        <f t="shared" si="74"/>
        <v>0.27001627780792192</v>
      </c>
      <c r="V44" s="223">
        <f t="shared" si="75"/>
        <v>1.0575637547476942</v>
      </c>
      <c r="W44" s="223">
        <f t="shared" si="76"/>
        <v>0.52333051781329198</v>
      </c>
      <c r="X44" s="203">
        <f t="shared" si="77"/>
        <v>350</v>
      </c>
      <c r="Y44" s="454">
        <f t="shared" si="50"/>
        <v>350</v>
      </c>
      <c r="AA44" s="223">
        <f t="shared" si="78"/>
        <v>0.48799916151346817</v>
      </c>
      <c r="AB44" s="179">
        <f t="shared" si="79"/>
        <v>0.94581280788177335</v>
      </c>
      <c r="AC44" s="179">
        <f t="shared" si="80"/>
        <v>8.077227500912576E-2</v>
      </c>
      <c r="AD44" s="179"/>
      <c r="AE44" s="179">
        <f t="shared" si="81"/>
        <v>0.56206185567010303</v>
      </c>
      <c r="AF44" s="563">
        <f t="shared" si="112"/>
        <v>526.38702658942009</v>
      </c>
      <c r="AG44" s="546">
        <f t="shared" si="82"/>
        <v>2.8524639175257726E-2</v>
      </c>
      <c r="AI44" s="179">
        <f t="shared" si="83"/>
        <v>0.36488395080133579</v>
      </c>
      <c r="AJ44" s="179">
        <f t="shared" si="84"/>
        <v>0.36488395080133579</v>
      </c>
      <c r="AK44" s="179">
        <f t="shared" si="85"/>
        <v>1.2554695931861746</v>
      </c>
      <c r="AM44" s="563">
        <f t="shared" si="86"/>
        <v>42.9</v>
      </c>
      <c r="AN44" s="472">
        <f t="shared" si="87"/>
        <v>350</v>
      </c>
      <c r="AP44">
        <f t="shared" si="88"/>
        <v>42.9</v>
      </c>
      <c r="AQ44" s="472">
        <f t="shared" si="89"/>
        <v>350</v>
      </c>
      <c r="AR44" s="472"/>
      <c r="AS44" s="6">
        <f t="shared" si="51"/>
        <v>2.8571428571428572</v>
      </c>
      <c r="AT44" s="6">
        <f t="shared" si="90"/>
        <v>1.429128807305232</v>
      </c>
      <c r="AU44" s="6">
        <f t="shared" si="52"/>
        <v>1.4280140498376253</v>
      </c>
      <c r="AV44" s="6">
        <f t="shared" si="91"/>
        <v>0.70719776031599102</v>
      </c>
      <c r="AW44" s="179">
        <f t="shared" si="53"/>
        <v>0.50019508255683121</v>
      </c>
      <c r="AX44" s="179">
        <f t="shared" si="92"/>
        <v>1.095078947368421</v>
      </c>
      <c r="AY44" s="179">
        <f t="shared" si="93"/>
        <v>9.1185396453299455E-2</v>
      </c>
      <c r="AZ44" s="179">
        <f t="shared" si="54"/>
        <v>12.009367617645497</v>
      </c>
      <c r="BA44" s="472">
        <f t="shared" si="94"/>
        <v>0.25545677430581021</v>
      </c>
      <c r="BB44" s="6">
        <f t="shared" si="95"/>
        <v>0.2149536938176636</v>
      </c>
      <c r="BC44" s="6"/>
      <c r="BD44" s="179">
        <f t="shared" si="55"/>
        <v>0.14899230642985073</v>
      </c>
      <c r="BE44" s="179">
        <f t="shared" si="96"/>
        <v>0.14893418616571552</v>
      </c>
      <c r="BF44" s="179"/>
      <c r="BG44" s="546">
        <f t="shared" si="97"/>
        <v>7.7695475813502881E-3</v>
      </c>
      <c r="BH44" s="546">
        <f t="shared" si="98"/>
        <v>3.4720988443439599E-2</v>
      </c>
      <c r="BI44" s="546">
        <f t="shared" si="99"/>
        <v>4.3749999999999995E-3</v>
      </c>
      <c r="BJ44" s="546">
        <f t="shared" si="100"/>
        <v>2.2996093750000002E-2</v>
      </c>
      <c r="BK44">
        <f t="shared" si="101"/>
        <v>3.48E-3</v>
      </c>
      <c r="BL44" s="546">
        <f t="shared" si="102"/>
        <v>7.3539609304323628E-2</v>
      </c>
      <c r="BM44" s="472">
        <f t="shared" si="56"/>
        <v>73.539609304323633</v>
      </c>
      <c r="BN44" s="546">
        <f t="shared" si="103"/>
        <v>1.2869999999999999E-2</v>
      </c>
      <c r="BO44" s="546"/>
      <c r="BQ44" s="472">
        <f t="shared" si="57"/>
        <v>12.87</v>
      </c>
      <c r="BR44" s="546">
        <f t="shared" si="104"/>
        <v>4.4397414750573082E-3</v>
      </c>
      <c r="BS44" s="546">
        <f t="shared" si="105"/>
        <v>4.4362783617688016E-3</v>
      </c>
      <c r="BT44" s="546">
        <f t="shared" si="106"/>
        <v>9.2156722139824874E-3</v>
      </c>
      <c r="BU44" s="546">
        <f t="shared" si="107"/>
        <v>1.8104547756810696E-2</v>
      </c>
      <c r="BV44" s="546">
        <f t="shared" si="108"/>
        <v>8.6208342665173576E-3</v>
      </c>
      <c r="BW44" s="472">
        <f t="shared" si="58"/>
        <v>26.725382023328052</v>
      </c>
      <c r="BX44" s="179">
        <f t="shared" si="59"/>
        <v>0.11313499132765167</v>
      </c>
      <c r="BY44" s="6">
        <f t="shared" si="60"/>
        <v>1.0296000000000001</v>
      </c>
      <c r="BZ44" s="179">
        <f t="shared" si="61"/>
        <v>0.90099630081668436</v>
      </c>
      <c r="CA44" s="6">
        <f t="shared" si="62"/>
        <v>90.099630081668437</v>
      </c>
      <c r="CD44" s="581">
        <f t="shared" si="109"/>
        <v>-50</v>
      </c>
      <c r="CE44">
        <f t="shared" si="110"/>
        <v>-50</v>
      </c>
    </row>
    <row r="45" spans="5:83" x14ac:dyDescent="0.2">
      <c r="E45" s="176">
        <v>40</v>
      </c>
      <c r="F45" s="223">
        <f t="shared" si="111"/>
        <v>4.4000000000000004E-2</v>
      </c>
      <c r="G45" s="223"/>
      <c r="H45" s="223">
        <f t="shared" si="64"/>
        <v>1.056</v>
      </c>
      <c r="I45" s="559">
        <f t="shared" si="65"/>
        <v>12</v>
      </c>
      <c r="J45" s="178">
        <f t="shared" si="66"/>
        <v>24.25</v>
      </c>
      <c r="K45" s="454">
        <f t="shared" si="67"/>
        <v>36.25</v>
      </c>
      <c r="L45" s="454"/>
      <c r="M45" s="223">
        <f t="shared" si="68"/>
        <v>0.66896551724137931</v>
      </c>
      <c r="N45" s="178">
        <f t="shared" si="5"/>
        <v>5.528999999999999</v>
      </c>
      <c r="O45" s="178">
        <f t="shared" si="49"/>
        <v>1.056</v>
      </c>
      <c r="P45" s="223">
        <f t="shared" si="69"/>
        <v>0.23037499999999997</v>
      </c>
      <c r="Q45" s="223">
        <f t="shared" si="70"/>
        <v>24</v>
      </c>
      <c r="R45" s="223">
        <f t="shared" si="71"/>
        <v>0.24250000000000002</v>
      </c>
      <c r="S45" s="178">
        <f t="shared" si="72"/>
        <v>175.85794409756573</v>
      </c>
      <c r="T45" s="178">
        <f t="shared" si="73"/>
        <v>24</v>
      </c>
      <c r="U45" s="223">
        <f t="shared" si="74"/>
        <v>0.27693977211068915</v>
      </c>
      <c r="V45" s="223">
        <f t="shared" si="75"/>
        <v>1.0846807741001989</v>
      </c>
      <c r="W45" s="223">
        <f t="shared" si="76"/>
        <v>0.53674924903927379</v>
      </c>
      <c r="X45" s="203">
        <f t="shared" si="77"/>
        <v>350</v>
      </c>
      <c r="Y45" s="454">
        <f t="shared" si="50"/>
        <v>350</v>
      </c>
      <c r="AA45" s="223">
        <f t="shared" si="78"/>
        <v>0.48799916151346817</v>
      </c>
      <c r="AB45" s="179">
        <f t="shared" si="79"/>
        <v>0.94581280788177335</v>
      </c>
      <c r="AC45" s="179">
        <f t="shared" si="80"/>
        <v>8.077227500912576E-2</v>
      </c>
      <c r="AD45" s="179"/>
      <c r="AE45" s="179">
        <f t="shared" si="81"/>
        <v>0.56206185567010303</v>
      </c>
      <c r="AF45" s="563">
        <f t="shared" si="112"/>
        <v>539.88412983530259</v>
      </c>
      <c r="AG45" s="546">
        <f t="shared" si="82"/>
        <v>2.8524639175257726E-2</v>
      </c>
      <c r="AI45" s="179">
        <f t="shared" si="83"/>
        <v>0.36953234139353258</v>
      </c>
      <c r="AJ45" s="179">
        <f t="shared" si="84"/>
        <v>0.36953234139353258</v>
      </c>
      <c r="AK45" s="179">
        <f t="shared" si="85"/>
        <v>1.2589128454766907</v>
      </c>
      <c r="AM45" s="563">
        <f t="shared" si="86"/>
        <v>44.000000000000007</v>
      </c>
      <c r="AN45" s="472">
        <f t="shared" si="87"/>
        <v>350</v>
      </c>
      <c r="AP45">
        <f t="shared" si="88"/>
        <v>44.000000000000007</v>
      </c>
      <c r="AQ45" s="472">
        <f t="shared" si="89"/>
        <v>350</v>
      </c>
      <c r="AR45" s="472"/>
      <c r="AS45" s="6">
        <f t="shared" si="51"/>
        <v>2.8571428571428572</v>
      </c>
      <c r="AT45" s="6">
        <f t="shared" si="90"/>
        <v>1.447335003791336</v>
      </c>
      <c r="AU45" s="6">
        <f t="shared" si="52"/>
        <v>1.4098078533515213</v>
      </c>
      <c r="AV45" s="6">
        <f t="shared" si="91"/>
        <v>0.71620701218540339</v>
      </c>
      <c r="AW45" s="179">
        <f t="shared" si="53"/>
        <v>0.50656725132696756</v>
      </c>
      <c r="AX45" s="179">
        <f t="shared" si="92"/>
        <v>1.1231578947368421</v>
      </c>
      <c r="AY45" s="179">
        <f t="shared" si="93"/>
        <v>9.1169679468696085E-2</v>
      </c>
      <c r="AZ45" s="179">
        <f t="shared" si="54"/>
        <v>12.319423532935511</v>
      </c>
      <c r="BA45" s="472">
        <f t="shared" si="94"/>
        <v>0.26534475069507824</v>
      </c>
      <c r="BB45" s="6">
        <f t="shared" si="95"/>
        <v>0.21765454578058574</v>
      </c>
      <c r="BC45" s="6"/>
      <c r="BD45" s="179">
        <f t="shared" si="55"/>
        <v>0.15184845636297617</v>
      </c>
      <c r="BE45" s="179">
        <f t="shared" si="96"/>
        <v>0.14986693012617369</v>
      </c>
      <c r="BF45" s="179"/>
      <c r="BG45" s="546">
        <f t="shared" si="97"/>
        <v>8.070283794936536E-3</v>
      </c>
      <c r="BH45" s="546">
        <f t="shared" si="98"/>
        <v>3.5163311860728332E-2</v>
      </c>
      <c r="BI45" s="546">
        <f t="shared" si="99"/>
        <v>4.3749999999999995E-3</v>
      </c>
      <c r="BJ45" s="546">
        <f t="shared" si="100"/>
        <v>2.2996093750000002E-2</v>
      </c>
      <c r="BK45">
        <f t="shared" si="101"/>
        <v>3.48E-3</v>
      </c>
      <c r="BL45" s="546">
        <f t="shared" si="102"/>
        <v>7.429243731049931E-2</v>
      </c>
      <c r="BM45" s="472">
        <f t="shared" si="56"/>
        <v>74.292437310499309</v>
      </c>
      <c r="BN45" s="546">
        <f t="shared" si="103"/>
        <v>1.3200000000000002E-2</v>
      </c>
      <c r="BO45" s="546"/>
      <c r="BQ45" s="472">
        <f t="shared" si="57"/>
        <v>13.200000000000001</v>
      </c>
      <c r="BR45" s="546">
        <f t="shared" si="104"/>
        <v>4.6115907399637357E-3</v>
      </c>
      <c r="BS45" s="546">
        <f t="shared" si="105"/>
        <v>4.4920193490886858E-3</v>
      </c>
      <c r="BT45" s="546">
        <f t="shared" si="106"/>
        <v>9.5119870337612555E-3</v>
      </c>
      <c r="BU45" s="546">
        <f t="shared" si="107"/>
        <v>1.8629164534830468E-2</v>
      </c>
      <c r="BV45" s="546">
        <f t="shared" si="108"/>
        <v>8.8418812989921637E-3</v>
      </c>
      <c r="BW45" s="472">
        <f t="shared" si="58"/>
        <v>27.471045833822632</v>
      </c>
      <c r="BX45" s="179">
        <f t="shared" si="59"/>
        <v>0.11496348314432195</v>
      </c>
      <c r="BY45" s="6">
        <f t="shared" si="60"/>
        <v>1.056</v>
      </c>
      <c r="BZ45" s="179">
        <f t="shared" si="61"/>
        <v>0.90182146172857836</v>
      </c>
      <c r="CA45" s="6">
        <f t="shared" si="62"/>
        <v>90.182146172857841</v>
      </c>
      <c r="CD45" s="581">
        <f t="shared" si="109"/>
        <v>-50</v>
      </c>
      <c r="CE45">
        <f t="shared" si="110"/>
        <v>-50</v>
      </c>
    </row>
    <row r="46" spans="5:83" x14ac:dyDescent="0.2">
      <c r="E46" s="176">
        <v>41</v>
      </c>
      <c r="F46" s="223">
        <f t="shared" si="111"/>
        <v>4.5099999999999994E-2</v>
      </c>
      <c r="G46" s="223"/>
      <c r="H46" s="223">
        <f t="shared" si="64"/>
        <v>1.0823999999999998</v>
      </c>
      <c r="I46" s="559">
        <f t="shared" si="65"/>
        <v>12</v>
      </c>
      <c r="J46" s="178">
        <f t="shared" si="66"/>
        <v>24.25</v>
      </c>
      <c r="K46" s="454">
        <f t="shared" si="67"/>
        <v>36.25</v>
      </c>
      <c r="L46" s="454"/>
      <c r="M46" s="223">
        <f t="shared" si="68"/>
        <v>0.66896551724137931</v>
      </c>
      <c r="N46" s="178">
        <f t="shared" si="5"/>
        <v>5.528999999999999</v>
      </c>
      <c r="O46" s="178">
        <f t="shared" si="49"/>
        <v>1.0823999999999998</v>
      </c>
      <c r="P46" s="223">
        <f t="shared" si="69"/>
        <v>0.23037499999999997</v>
      </c>
      <c r="Q46" s="223">
        <f t="shared" si="70"/>
        <v>24</v>
      </c>
      <c r="R46" s="223">
        <f t="shared" si="71"/>
        <v>0.24250000000000002</v>
      </c>
      <c r="S46" s="178">
        <f t="shared" si="72"/>
        <v>171.27691346999828</v>
      </c>
      <c r="T46" s="178">
        <f t="shared" si="73"/>
        <v>24</v>
      </c>
      <c r="U46" s="223">
        <f t="shared" si="74"/>
        <v>0.28386326641345633</v>
      </c>
      <c r="V46" s="223">
        <f t="shared" si="75"/>
        <v>1.1117977934527037</v>
      </c>
      <c r="W46" s="223">
        <f t="shared" si="76"/>
        <v>0.55016798026525549</v>
      </c>
      <c r="X46" s="203">
        <f t="shared" si="77"/>
        <v>350</v>
      </c>
      <c r="Y46" s="454">
        <f t="shared" si="50"/>
        <v>350</v>
      </c>
      <c r="AA46" s="223">
        <f t="shared" si="78"/>
        <v>0.48799916151346817</v>
      </c>
      <c r="AB46" s="179">
        <f t="shared" si="79"/>
        <v>0.94581280788177335</v>
      </c>
      <c r="AC46" s="179">
        <f t="shared" si="80"/>
        <v>8.077227500912576E-2</v>
      </c>
      <c r="AD46" s="179"/>
      <c r="AE46" s="179">
        <f t="shared" si="81"/>
        <v>0.56206185567010303</v>
      </c>
      <c r="AF46" s="563">
        <f t="shared" si="112"/>
        <v>553.38123308118497</v>
      </c>
      <c r="AG46" s="546">
        <f t="shared" si="82"/>
        <v>2.8524639175257726E-2</v>
      </c>
      <c r="AI46" s="179">
        <f t="shared" si="83"/>
        <v>0.37412298127645266</v>
      </c>
      <c r="AJ46" s="179">
        <f t="shared" si="84"/>
        <v>0.37412298127645266</v>
      </c>
      <c r="AK46" s="179">
        <f t="shared" si="85"/>
        <v>1.262313319464039</v>
      </c>
      <c r="AM46" s="563">
        <f t="shared" si="86"/>
        <v>45.099999999999994</v>
      </c>
      <c r="AN46" s="472">
        <f t="shared" si="87"/>
        <v>350</v>
      </c>
      <c r="AP46">
        <f t="shared" si="88"/>
        <v>45.099999999999994</v>
      </c>
      <c r="AQ46" s="472">
        <f t="shared" si="89"/>
        <v>350</v>
      </c>
      <c r="AR46" s="472"/>
      <c r="AS46" s="6">
        <f t="shared" si="51"/>
        <v>2.8571428571428572</v>
      </c>
      <c r="AT46" s="6">
        <f t="shared" si="90"/>
        <v>1.4653150099994394</v>
      </c>
      <c r="AU46" s="6">
        <f t="shared" si="52"/>
        <v>1.3918278471434178</v>
      </c>
      <c r="AV46" s="6">
        <f t="shared" si="91"/>
        <v>0.72510433484508352</v>
      </c>
      <c r="AW46" s="179">
        <f t="shared" si="53"/>
        <v>0.5128602534998038</v>
      </c>
      <c r="AX46" s="179">
        <f t="shared" si="92"/>
        <v>1.1512368421052632</v>
      </c>
      <c r="AY46" s="179">
        <f t="shared" si="93"/>
        <v>9.1125087129454399E-2</v>
      </c>
      <c r="AZ46" s="179">
        <f t="shared" si="54"/>
        <v>12.633588382415368</v>
      </c>
      <c r="BA46" s="472">
        <f t="shared" si="94"/>
        <v>0.27535711229572796</v>
      </c>
      <c r="BB46" s="6">
        <f t="shared" si="95"/>
        <v>0.22025065230234425</v>
      </c>
      <c r="BC46" s="6"/>
      <c r="BD46" s="179">
        <f t="shared" si="55"/>
        <v>0.15468680894771966</v>
      </c>
      <c r="BE46" s="179">
        <f t="shared" si="96"/>
        <v>0.15075806062683786</v>
      </c>
      <c r="BF46" s="179"/>
      <c r="BG46" s="546">
        <f t="shared" si="97"/>
        <v>8.3748031018499123E-3</v>
      </c>
      <c r="BH46" s="546">
        <f t="shared" si="98"/>
        <v>3.5600139937087445E-2</v>
      </c>
      <c r="BI46" s="546">
        <f t="shared" si="99"/>
        <v>4.3749999999999995E-3</v>
      </c>
      <c r="BJ46" s="546">
        <f t="shared" si="100"/>
        <v>2.2996093750000002E-2</v>
      </c>
      <c r="BK46">
        <f t="shared" si="101"/>
        <v>3.48E-3</v>
      </c>
      <c r="BL46" s="546">
        <f t="shared" si="102"/>
        <v>7.5043804098313682E-2</v>
      </c>
      <c r="BM46" s="472">
        <f t="shared" si="56"/>
        <v>75.043804098313686</v>
      </c>
      <c r="BN46" s="546">
        <f t="shared" si="103"/>
        <v>1.3529999999999999E-2</v>
      </c>
      <c r="BO46" s="546"/>
      <c r="BQ46" s="472">
        <f t="shared" si="57"/>
        <v>13.53</v>
      </c>
      <c r="BR46" s="546">
        <f t="shared" si="104"/>
        <v>4.7856017724856653E-3</v>
      </c>
      <c r="BS46" s="546">
        <f t="shared" si="105"/>
        <v>4.5455985687930644E-3</v>
      </c>
      <c r="BT46" s="546">
        <f t="shared" si="106"/>
        <v>9.8101597905335732E-3</v>
      </c>
      <c r="BU46" s="546">
        <f t="shared" si="107"/>
        <v>1.9155659755720301E-2</v>
      </c>
      <c r="BV46" s="546">
        <f t="shared" si="108"/>
        <v>9.0629283314669663E-3</v>
      </c>
      <c r="BW46" s="472">
        <f t="shared" si="58"/>
        <v>28.218588087187268</v>
      </c>
      <c r="BX46" s="179">
        <f t="shared" si="59"/>
        <v>0.11679239218550094</v>
      </c>
      <c r="BY46" s="6">
        <f t="shared" si="60"/>
        <v>1.0823999999999998</v>
      </c>
      <c r="BZ46" s="179">
        <f t="shared" si="61"/>
        <v>0.90260746069890463</v>
      </c>
      <c r="CA46" s="6">
        <f t="shared" si="62"/>
        <v>90.260746069890459</v>
      </c>
      <c r="CD46" s="581">
        <f t="shared" si="109"/>
        <v>-50</v>
      </c>
      <c r="CE46">
        <f t="shared" si="110"/>
        <v>-50</v>
      </c>
    </row>
    <row r="47" spans="5:83" x14ac:dyDescent="0.2">
      <c r="E47" s="176">
        <v>42</v>
      </c>
      <c r="F47" s="223">
        <f t="shared" si="111"/>
        <v>4.6199999999999998E-2</v>
      </c>
      <c r="G47" s="223"/>
      <c r="H47" s="223">
        <f t="shared" si="64"/>
        <v>1.1088</v>
      </c>
      <c r="I47" s="559">
        <f t="shared" si="65"/>
        <v>12</v>
      </c>
      <c r="J47" s="178">
        <f t="shared" si="66"/>
        <v>24.25</v>
      </c>
      <c r="K47" s="454">
        <f t="shared" si="67"/>
        <v>36.25</v>
      </c>
      <c r="L47" s="454"/>
      <c r="M47" s="223">
        <f t="shared" si="68"/>
        <v>0.66896551724137931</v>
      </c>
      <c r="N47" s="178">
        <f t="shared" si="5"/>
        <v>5.528999999999999</v>
      </c>
      <c r="O47" s="178">
        <f t="shared" si="49"/>
        <v>1.1088</v>
      </c>
      <c r="P47" s="223">
        <f t="shared" si="69"/>
        <v>0.23037499999999997</v>
      </c>
      <c r="Q47" s="223">
        <f t="shared" si="70"/>
        <v>24</v>
      </c>
      <c r="R47" s="223">
        <f t="shared" si="71"/>
        <v>0.24250000000000002</v>
      </c>
      <c r="S47" s="178">
        <f t="shared" si="72"/>
        <v>166.91405033849941</v>
      </c>
      <c r="T47" s="178">
        <f t="shared" si="73"/>
        <v>24</v>
      </c>
      <c r="U47" s="223">
        <f t="shared" si="74"/>
        <v>0.29078676071622356</v>
      </c>
      <c r="V47" s="223">
        <f t="shared" si="75"/>
        <v>1.1389148128052089</v>
      </c>
      <c r="W47" s="223">
        <f t="shared" si="76"/>
        <v>0.5635867114912374</v>
      </c>
      <c r="X47" s="203">
        <f t="shared" si="77"/>
        <v>350</v>
      </c>
      <c r="Y47" s="454">
        <f t="shared" si="50"/>
        <v>350</v>
      </c>
      <c r="AA47" s="223">
        <f t="shared" si="78"/>
        <v>0.48799916151346817</v>
      </c>
      <c r="AB47" s="179">
        <f t="shared" si="79"/>
        <v>0.94581280788177335</v>
      </c>
      <c r="AC47" s="179">
        <f t="shared" si="80"/>
        <v>8.077227500912576E-2</v>
      </c>
      <c r="AD47" s="179"/>
      <c r="AE47" s="179">
        <f t="shared" si="81"/>
        <v>0.56206185567010303</v>
      </c>
      <c r="AF47" s="563">
        <f t="shared" si="112"/>
        <v>566.8783363270677</v>
      </c>
      <c r="AG47" s="546">
        <f t="shared" si="82"/>
        <v>2.8524639175257726E-2</v>
      </c>
      <c r="AI47" s="179">
        <f t="shared" si="83"/>
        <v>0.37865797086893022</v>
      </c>
      <c r="AJ47" s="179">
        <f t="shared" si="84"/>
        <v>0.37865797086893022</v>
      </c>
      <c r="AK47" s="179">
        <f t="shared" si="85"/>
        <v>1.2656725710140224</v>
      </c>
      <c r="AM47" s="563">
        <f t="shared" si="86"/>
        <v>46.199999999999996</v>
      </c>
      <c r="AN47" s="472">
        <f t="shared" si="87"/>
        <v>350</v>
      </c>
      <c r="AP47">
        <f t="shared" si="88"/>
        <v>46.199999999999996</v>
      </c>
      <c r="AQ47" s="472">
        <f t="shared" si="89"/>
        <v>350</v>
      </c>
      <c r="AR47" s="472"/>
      <c r="AS47" s="6">
        <f t="shared" si="51"/>
        <v>2.8571428571428572</v>
      </c>
      <c r="AT47" s="6">
        <f t="shared" si="90"/>
        <v>1.4830770525699766</v>
      </c>
      <c r="AU47" s="6">
        <f t="shared" si="52"/>
        <v>1.3740658045728806</v>
      </c>
      <c r="AV47" s="6">
        <f t="shared" si="91"/>
        <v>0.73389379920988529</v>
      </c>
      <c r="AW47" s="179">
        <f t="shared" si="53"/>
        <v>0.5190769683994918</v>
      </c>
      <c r="AX47" s="179">
        <f t="shared" si="92"/>
        <v>1.1793157894736843</v>
      </c>
      <c r="AY47" s="179">
        <f t="shared" si="93"/>
        <v>9.1052669644991424E-2</v>
      </c>
      <c r="AZ47" s="179">
        <f t="shared" si="54"/>
        <v>12.952017706584131</v>
      </c>
      <c r="BA47" s="472">
        <f t="shared" si="94"/>
        <v>0.28549233261972051</v>
      </c>
      <c r="BB47" s="6">
        <f t="shared" si="95"/>
        <v>0.22274329884655114</v>
      </c>
      <c r="BC47" s="6"/>
      <c r="BD47" s="179">
        <f t="shared" si="55"/>
        <v>0.15750790524354918</v>
      </c>
      <c r="BE47" s="179">
        <f t="shared" si="96"/>
        <v>0.15160874893393958</v>
      </c>
      <c r="BF47" s="179"/>
      <c r="BG47" s="546">
        <f t="shared" si="97"/>
        <v>8.6830590749738031E-3</v>
      </c>
      <c r="BH47" s="546">
        <f t="shared" si="98"/>
        <v>3.6031672540496641E-2</v>
      </c>
      <c r="BI47" s="546">
        <f t="shared" si="99"/>
        <v>4.3749999999999995E-3</v>
      </c>
      <c r="BJ47" s="546">
        <f t="shared" si="100"/>
        <v>2.2996093750000002E-2</v>
      </c>
      <c r="BK47">
        <f t="shared" si="101"/>
        <v>3.48E-3</v>
      </c>
      <c r="BL47" s="546">
        <f t="shared" si="102"/>
        <v>7.5793864848449313E-2</v>
      </c>
      <c r="BM47" s="472">
        <f t="shared" si="56"/>
        <v>75.793864848449317</v>
      </c>
      <c r="BN47" s="546">
        <f t="shared" si="103"/>
        <v>1.3859999999999999E-2</v>
      </c>
      <c r="BO47" s="546"/>
      <c r="BQ47" s="472">
        <f t="shared" si="57"/>
        <v>13.86</v>
      </c>
      <c r="BR47" s="546">
        <f t="shared" si="104"/>
        <v>4.9617480428421736E-3</v>
      </c>
      <c r="BS47" s="546">
        <f t="shared" si="105"/>
        <v>4.5970425506628651E-3</v>
      </c>
      <c r="BT47" s="546">
        <f t="shared" si="106"/>
        <v>1.0110156386951832E-2</v>
      </c>
      <c r="BU47" s="546">
        <f t="shared" si="107"/>
        <v>1.9683999398720474E-2</v>
      </c>
      <c r="BV47" s="546">
        <f t="shared" si="108"/>
        <v>9.2839753639417689E-3</v>
      </c>
      <c r="BW47" s="472">
        <f t="shared" si="58"/>
        <v>28.967974762662244</v>
      </c>
      <c r="BX47" s="179">
        <f t="shared" si="59"/>
        <v>0.11862183961111156</v>
      </c>
      <c r="BY47" s="6">
        <f t="shared" si="60"/>
        <v>1.1088</v>
      </c>
      <c r="BZ47" s="179">
        <f t="shared" si="61"/>
        <v>0.90335690975753291</v>
      </c>
      <c r="CA47" s="6">
        <f t="shared" si="62"/>
        <v>90.335690975753295</v>
      </c>
      <c r="CD47" s="581">
        <f t="shared" si="109"/>
        <v>-50</v>
      </c>
      <c r="CE47">
        <f t="shared" si="110"/>
        <v>-50</v>
      </c>
    </row>
    <row r="48" spans="5:83" x14ac:dyDescent="0.2">
      <c r="E48" s="176">
        <v>43</v>
      </c>
      <c r="F48" s="223">
        <f t="shared" si="111"/>
        <v>4.7300000000000002E-2</v>
      </c>
      <c r="G48" s="223"/>
      <c r="H48" s="223">
        <f t="shared" si="64"/>
        <v>1.1352</v>
      </c>
      <c r="I48" s="559">
        <f t="shared" si="65"/>
        <v>12</v>
      </c>
      <c r="J48" s="178">
        <f t="shared" si="66"/>
        <v>24.25</v>
      </c>
      <c r="K48" s="454">
        <f t="shared" si="67"/>
        <v>36.25</v>
      </c>
      <c r="L48" s="454"/>
      <c r="M48" s="223">
        <f t="shared" si="68"/>
        <v>0.66896551724137931</v>
      </c>
      <c r="N48" s="178">
        <f t="shared" si="5"/>
        <v>5.528999999999999</v>
      </c>
      <c r="O48" s="178">
        <f t="shared" si="49"/>
        <v>1.1352</v>
      </c>
      <c r="P48" s="223">
        <f t="shared" si="69"/>
        <v>0.23037499999999997</v>
      </c>
      <c r="Q48" s="223">
        <f t="shared" si="70"/>
        <v>24</v>
      </c>
      <c r="R48" s="223">
        <f t="shared" si="71"/>
        <v>0.24250000000000002</v>
      </c>
      <c r="S48" s="178">
        <f t="shared" si="72"/>
        <v>162.75413382811425</v>
      </c>
      <c r="T48" s="178">
        <f t="shared" si="73"/>
        <v>24</v>
      </c>
      <c r="U48" s="223">
        <f t="shared" si="74"/>
        <v>0.29771025501899079</v>
      </c>
      <c r="V48" s="223">
        <f t="shared" si="75"/>
        <v>1.1660318321577137</v>
      </c>
      <c r="W48" s="223">
        <f t="shared" si="76"/>
        <v>0.57700544271721921</v>
      </c>
      <c r="X48" s="203">
        <f t="shared" si="77"/>
        <v>350</v>
      </c>
      <c r="Y48" s="454">
        <f t="shared" si="50"/>
        <v>350</v>
      </c>
      <c r="AA48" s="223">
        <f t="shared" si="78"/>
        <v>0.48799916151346817</v>
      </c>
      <c r="AB48" s="179">
        <f t="shared" si="79"/>
        <v>0.94581280788177335</v>
      </c>
      <c r="AC48" s="179">
        <f t="shared" si="80"/>
        <v>8.077227500912576E-2</v>
      </c>
      <c r="AD48" s="179"/>
      <c r="AE48" s="179">
        <f t="shared" si="81"/>
        <v>0.56206185567010303</v>
      </c>
      <c r="AF48" s="563">
        <f t="shared" si="112"/>
        <v>580.3754395729502</v>
      </c>
      <c r="AG48" s="546">
        <f t="shared" si="82"/>
        <v>2.8524639175257726E-2</v>
      </c>
      <c r="AI48" s="179">
        <f t="shared" si="83"/>
        <v>0.38313928627324328</v>
      </c>
      <c r="AJ48" s="179">
        <f t="shared" si="84"/>
        <v>0.38313928627324328</v>
      </c>
      <c r="AK48" s="179">
        <f t="shared" si="85"/>
        <v>1.2689920639061061</v>
      </c>
      <c r="AM48" s="563">
        <f t="shared" si="86"/>
        <v>47.300000000000004</v>
      </c>
      <c r="AN48" s="472">
        <f t="shared" si="87"/>
        <v>350</v>
      </c>
      <c r="AP48">
        <f t="shared" si="88"/>
        <v>47.300000000000004</v>
      </c>
      <c r="AQ48" s="472">
        <f t="shared" si="89"/>
        <v>350</v>
      </c>
      <c r="AR48" s="472"/>
      <c r="AS48" s="6">
        <f t="shared" si="51"/>
        <v>2.8571428571428572</v>
      </c>
      <c r="AT48" s="6">
        <f t="shared" si="90"/>
        <v>1.5006288712368694</v>
      </c>
      <c r="AU48" s="6">
        <f t="shared" si="52"/>
        <v>1.3565139859059878</v>
      </c>
      <c r="AV48" s="6">
        <f t="shared" si="91"/>
        <v>0.74257923525123437</v>
      </c>
      <c r="AW48" s="179">
        <f t="shared" si="53"/>
        <v>0.52522010493290427</v>
      </c>
      <c r="AX48" s="179">
        <f t="shared" si="92"/>
        <v>1.2073947368421054</v>
      </c>
      <c r="AY48" s="179">
        <f t="shared" si="93"/>
        <v>9.0953415066446192E-2</v>
      </c>
      <c r="AZ48" s="179">
        <f t="shared" si="54"/>
        <v>13.274869733698738</v>
      </c>
      <c r="BA48" s="472">
        <f t="shared" si="94"/>
        <v>0.29574894003959967</v>
      </c>
      <c r="BB48" s="6">
        <f t="shared" si="95"/>
        <v>0.22513372467843232</v>
      </c>
      <c r="BC48" s="6"/>
      <c r="BD48" s="179">
        <f t="shared" si="55"/>
        <v>0.16031225740267624</v>
      </c>
      <c r="BE48" s="179">
        <f t="shared" si="96"/>
        <v>0.15242009170419377</v>
      </c>
      <c r="BF48" s="179"/>
      <c r="BG48" s="546">
        <f t="shared" si="97"/>
        <v>8.995006955739673E-3</v>
      </c>
      <c r="BH48" s="546">
        <f t="shared" si="98"/>
        <v>3.6458097709438302E-2</v>
      </c>
      <c r="BI48" s="546">
        <f t="shared" si="99"/>
        <v>4.3749999999999995E-3</v>
      </c>
      <c r="BJ48" s="546">
        <f t="shared" si="100"/>
        <v>2.2996093750000002E-2</v>
      </c>
      <c r="BK48">
        <f t="shared" si="101"/>
        <v>3.48E-3</v>
      </c>
      <c r="BL48" s="546">
        <f t="shared" si="102"/>
        <v>7.654276460072626E-2</v>
      </c>
      <c r="BM48" s="472">
        <f t="shared" si="56"/>
        <v>76.542764600726258</v>
      </c>
      <c r="BN48" s="546">
        <f t="shared" si="103"/>
        <v>1.4189999999999999E-2</v>
      </c>
      <c r="BO48" s="546"/>
      <c r="BQ48" s="472">
        <f t="shared" si="57"/>
        <v>14.19</v>
      </c>
      <c r="BR48" s="546">
        <f t="shared" si="104"/>
        <v>5.1400039747083849E-3</v>
      </c>
      <c r="BS48" s="546">
        <f t="shared" si="105"/>
        <v>4.646376871022968E-3</v>
      </c>
      <c r="BT48" s="546">
        <f t="shared" si="106"/>
        <v>1.0411944151060523E-2</v>
      </c>
      <c r="BU48" s="546">
        <f t="shared" si="107"/>
        <v>2.0214150867100558E-2</v>
      </c>
      <c r="BV48" s="546">
        <f t="shared" si="108"/>
        <v>9.505022396416575E-3</v>
      </c>
      <c r="BW48" s="472">
        <f t="shared" si="58"/>
        <v>29.719173263517135</v>
      </c>
      <c r="BX48" s="179">
        <f t="shared" si="59"/>
        <v>0.12045193786424338</v>
      </c>
      <c r="BY48" s="6">
        <f t="shared" si="60"/>
        <v>1.1352</v>
      </c>
      <c r="BZ48" s="179">
        <f t="shared" si="61"/>
        <v>0.90407219211629464</v>
      </c>
      <c r="CA48" s="6">
        <f t="shared" si="62"/>
        <v>90.407219211629467</v>
      </c>
      <c r="CD48" s="581">
        <f t="shared" si="109"/>
        <v>-50</v>
      </c>
      <c r="CE48">
        <f t="shared" si="110"/>
        <v>-50</v>
      </c>
    </row>
    <row r="49" spans="5:83" x14ac:dyDescent="0.2">
      <c r="E49" s="176">
        <v>44</v>
      </c>
      <c r="F49" s="223">
        <f t="shared" si="111"/>
        <v>4.8399999999999999E-2</v>
      </c>
      <c r="G49" s="223"/>
      <c r="H49" s="223">
        <f t="shared" si="64"/>
        <v>1.1616</v>
      </c>
      <c r="I49" s="559">
        <f t="shared" si="65"/>
        <v>12</v>
      </c>
      <c r="J49" s="178">
        <f t="shared" si="66"/>
        <v>24.25</v>
      </c>
      <c r="K49" s="454">
        <f t="shared" si="67"/>
        <v>36.25</v>
      </c>
      <c r="L49" s="454"/>
      <c r="M49" s="223">
        <f t="shared" si="68"/>
        <v>0.66896551724137931</v>
      </c>
      <c r="N49" s="178">
        <f t="shared" si="5"/>
        <v>5.528999999999999</v>
      </c>
      <c r="O49" s="178">
        <f t="shared" si="49"/>
        <v>1.1616</v>
      </c>
      <c r="P49" s="223">
        <f t="shared" si="69"/>
        <v>0.23037499999999997</v>
      </c>
      <c r="Q49" s="223">
        <f t="shared" si="70"/>
        <v>24</v>
      </c>
      <c r="R49" s="223">
        <f t="shared" si="71"/>
        <v>0.24250000000000002</v>
      </c>
      <c r="S49" s="178">
        <f t="shared" si="72"/>
        <v>158.78332678051228</v>
      </c>
      <c r="T49" s="178">
        <f t="shared" si="73"/>
        <v>24</v>
      </c>
      <c r="U49" s="223">
        <f t="shared" si="74"/>
        <v>0.30463374932175802</v>
      </c>
      <c r="V49" s="223">
        <f t="shared" si="75"/>
        <v>1.1931488515102189</v>
      </c>
      <c r="W49" s="223">
        <f t="shared" si="76"/>
        <v>0.59042417394320101</v>
      </c>
      <c r="X49" s="203">
        <f t="shared" si="77"/>
        <v>350</v>
      </c>
      <c r="Y49" s="454">
        <f t="shared" si="50"/>
        <v>350</v>
      </c>
      <c r="AA49" s="223">
        <f t="shared" si="78"/>
        <v>0.48799916151346817</v>
      </c>
      <c r="AB49" s="179">
        <f t="shared" si="79"/>
        <v>0.94581280788177335</v>
      </c>
      <c r="AC49" s="179">
        <f t="shared" si="80"/>
        <v>8.077227500912576E-2</v>
      </c>
      <c r="AD49" s="179"/>
      <c r="AE49" s="179">
        <f t="shared" si="81"/>
        <v>0.56206185567010303</v>
      </c>
      <c r="AF49" s="563">
        <f t="shared" si="112"/>
        <v>593.87254281883281</v>
      </c>
      <c r="AG49" s="546">
        <f t="shared" si="82"/>
        <v>2.8524639175257726E-2</v>
      </c>
      <c r="AI49" s="179">
        <f t="shared" si="83"/>
        <v>0.38756878933857009</v>
      </c>
      <c r="AJ49" s="179">
        <f t="shared" si="84"/>
        <v>0.38756878933857009</v>
      </c>
      <c r="AK49" s="179">
        <f t="shared" si="85"/>
        <v>1.2722731772878297</v>
      </c>
      <c r="AM49" s="563">
        <f t="shared" si="86"/>
        <v>48.4</v>
      </c>
      <c r="AN49" s="472">
        <f t="shared" si="87"/>
        <v>350</v>
      </c>
      <c r="AP49">
        <f t="shared" si="88"/>
        <v>48.4</v>
      </c>
      <c r="AQ49" s="472">
        <f t="shared" si="89"/>
        <v>350</v>
      </c>
      <c r="AR49" s="472"/>
      <c r="AS49" s="6">
        <f t="shared" si="51"/>
        <v>2.8571428571428572</v>
      </c>
      <c r="AT49" s="6">
        <f t="shared" si="90"/>
        <v>1.517977758242733</v>
      </c>
      <c r="AU49" s="6">
        <f t="shared" si="52"/>
        <v>1.3391650989001243</v>
      </c>
      <c r="AV49" s="6">
        <f t="shared" si="91"/>
        <v>0.75116425150155852</v>
      </c>
      <c r="AW49" s="179">
        <f t="shared" si="53"/>
        <v>0.53129221538495652</v>
      </c>
      <c r="AX49" s="179">
        <f t="shared" si="92"/>
        <v>1.2354736842105265</v>
      </c>
      <c r="AY49" s="179">
        <f t="shared" si="93"/>
        <v>9.0828254318407839E-2</v>
      </c>
      <c r="AZ49" s="179">
        <f t="shared" si="54"/>
        <v>13.602305730543337</v>
      </c>
      <c r="BA49" s="472">
        <f t="shared" si="94"/>
        <v>0.30612551457895115</v>
      </c>
      <c r="BB49" s="6">
        <f t="shared" si="95"/>
        <v>0.2274231255676</v>
      </c>
      <c r="BC49" s="6"/>
      <c r="BD49" s="179">
        <f t="shared" si="55"/>
        <v>0.16310035084932914</v>
      </c>
      <c r="BE49" s="179">
        <f t="shared" si="96"/>
        <v>0.15319311682518261</v>
      </c>
      <c r="BF49" s="179"/>
      <c r="BG49" s="546">
        <f t="shared" si="97"/>
        <v>9.3106035565109907E-3</v>
      </c>
      <c r="BH49" s="546">
        <f t="shared" si="98"/>
        <v>3.6879592610498307E-2</v>
      </c>
      <c r="BI49" s="546">
        <f t="shared" si="99"/>
        <v>4.3749999999999995E-3</v>
      </c>
      <c r="BJ49" s="546">
        <f t="shared" si="100"/>
        <v>2.2996093750000002E-2</v>
      </c>
      <c r="BK49">
        <f t="shared" si="101"/>
        <v>3.48E-3</v>
      </c>
      <c r="BL49" s="546">
        <f t="shared" si="102"/>
        <v>7.7290639113055198E-2</v>
      </c>
      <c r="BM49" s="472">
        <f t="shared" si="56"/>
        <v>77.290639113055192</v>
      </c>
      <c r="BN49" s="546">
        <f t="shared" si="103"/>
        <v>1.4519999999999998E-2</v>
      </c>
      <c r="BO49" s="546"/>
      <c r="BQ49" s="472">
        <f t="shared" si="57"/>
        <v>14.519999999999998</v>
      </c>
      <c r="BR49" s="546">
        <f t="shared" si="104"/>
        <v>5.3203448894348524E-3</v>
      </c>
      <c r="BS49" s="546">
        <f t="shared" si="105"/>
        <v>4.6936262085228095E-3</v>
      </c>
      <c r="BT49" s="546">
        <f t="shared" si="106"/>
        <v>1.0715491744835512E-2</v>
      </c>
      <c r="BU49" s="546">
        <f t="shared" si="107"/>
        <v>2.0746082896755089E-2</v>
      </c>
      <c r="BV49" s="546">
        <f t="shared" si="108"/>
        <v>9.7260694288913794E-3</v>
      </c>
      <c r="BW49" s="472">
        <f t="shared" si="58"/>
        <v>30.472152325646469</v>
      </c>
      <c r="BX49" s="179">
        <f t="shared" si="59"/>
        <v>0.12228279143870167</v>
      </c>
      <c r="BY49" s="6">
        <f t="shared" si="60"/>
        <v>1.1616</v>
      </c>
      <c r="BZ49" s="179">
        <f t="shared" si="61"/>
        <v>0.904755486829391</v>
      </c>
      <c r="CA49" s="6">
        <f t="shared" si="62"/>
        <v>90.475548682939106</v>
      </c>
      <c r="CD49" s="581">
        <f t="shared" si="109"/>
        <v>-50</v>
      </c>
      <c r="CE49">
        <f t="shared" si="110"/>
        <v>-50</v>
      </c>
    </row>
    <row r="50" spans="5:83" x14ac:dyDescent="0.2">
      <c r="E50" s="176">
        <v>45</v>
      </c>
      <c r="F50" s="223">
        <f t="shared" si="111"/>
        <v>4.9500000000000002E-2</v>
      </c>
      <c r="G50" s="223"/>
      <c r="H50" s="223">
        <f t="shared" si="64"/>
        <v>1.1880000000000002</v>
      </c>
      <c r="I50" s="559">
        <f t="shared" si="65"/>
        <v>12</v>
      </c>
      <c r="J50" s="178">
        <f t="shared" si="66"/>
        <v>24.25</v>
      </c>
      <c r="K50" s="454">
        <f t="shared" si="67"/>
        <v>36.25</v>
      </c>
      <c r="L50" s="454"/>
      <c r="M50" s="223">
        <f t="shared" si="68"/>
        <v>0.66896551724137931</v>
      </c>
      <c r="N50" s="178">
        <f t="shared" si="5"/>
        <v>5.528999999999999</v>
      </c>
      <c r="O50" s="178">
        <f t="shared" si="49"/>
        <v>1.1880000000000002</v>
      </c>
      <c r="P50" s="223">
        <f t="shared" si="69"/>
        <v>0.23037499999999997</v>
      </c>
      <c r="Q50" s="223">
        <f t="shared" si="70"/>
        <v>24</v>
      </c>
      <c r="R50" s="223">
        <f t="shared" si="71"/>
        <v>0.24250000000000002</v>
      </c>
      <c r="S50" s="178">
        <f t="shared" si="72"/>
        <v>154.98902200770095</v>
      </c>
      <c r="T50" s="178">
        <f t="shared" si="73"/>
        <v>24</v>
      </c>
      <c r="U50" s="223">
        <f t="shared" si="74"/>
        <v>0.3115572436245253</v>
      </c>
      <c r="V50" s="223">
        <f t="shared" si="75"/>
        <v>1.2202658708627241</v>
      </c>
      <c r="W50" s="223">
        <f t="shared" si="76"/>
        <v>0.60384290516918304</v>
      </c>
      <c r="X50" s="203">
        <f t="shared" si="77"/>
        <v>350</v>
      </c>
      <c r="Y50" s="454">
        <f t="shared" si="50"/>
        <v>350</v>
      </c>
      <c r="AA50" s="223">
        <f t="shared" si="78"/>
        <v>0.48799916151346817</v>
      </c>
      <c r="AB50" s="179">
        <f t="shared" si="79"/>
        <v>0.94581280788177335</v>
      </c>
      <c r="AC50" s="179">
        <f t="shared" si="80"/>
        <v>8.077227500912576E-2</v>
      </c>
      <c r="AD50" s="179"/>
      <c r="AE50" s="179">
        <f t="shared" si="81"/>
        <v>0.56206185567010303</v>
      </c>
      <c r="AF50" s="563">
        <f t="shared" si="112"/>
        <v>607.36964606471543</v>
      </c>
      <c r="AG50" s="546">
        <f t="shared" si="82"/>
        <v>2.8524639175257726E-2</v>
      </c>
      <c r="AI50" s="179">
        <f t="shared" si="83"/>
        <v>0.39194823670066381</v>
      </c>
      <c r="AJ50" s="179">
        <f t="shared" si="84"/>
        <v>0.39194823670066381</v>
      </c>
      <c r="AK50" s="179">
        <f t="shared" si="85"/>
        <v>1.275517212370862</v>
      </c>
      <c r="AM50" s="563">
        <f t="shared" si="86"/>
        <v>49.5</v>
      </c>
      <c r="AN50" s="472">
        <f t="shared" si="87"/>
        <v>350</v>
      </c>
      <c r="AP50">
        <f t="shared" si="88"/>
        <v>49.5</v>
      </c>
      <c r="AQ50" s="472">
        <f t="shared" si="89"/>
        <v>350</v>
      </c>
      <c r="AR50" s="472"/>
      <c r="AS50" s="6">
        <f t="shared" si="51"/>
        <v>2.8571428571428572</v>
      </c>
      <c r="AT50" s="6">
        <f t="shared" si="90"/>
        <v>1.5351305937442663</v>
      </c>
      <c r="AU50" s="6">
        <f t="shared" si="52"/>
        <v>1.3220122633985909</v>
      </c>
      <c r="AV50" s="6">
        <f t="shared" si="91"/>
        <v>0.75965225257448232</v>
      </c>
      <c r="AW50" s="179">
        <f t="shared" si="53"/>
        <v>0.53729570781049318</v>
      </c>
      <c r="AX50" s="179">
        <f t="shared" si="92"/>
        <v>1.2635526315789474</v>
      </c>
      <c r="AY50" s="179">
        <f t="shared" si="93"/>
        <v>9.0678065718752962E-2</v>
      </c>
      <c r="AZ50" s="179">
        <f t="shared" si="54"/>
        <v>13.934490348503701</v>
      </c>
      <c r="BA50" s="472">
        <f t="shared" si="94"/>
        <v>0.31662068495975493</v>
      </c>
      <c r="BB50" s="6">
        <f t="shared" si="95"/>
        <v>0.22961265627449209</v>
      </c>
      <c r="BC50" s="6"/>
      <c r="BD50" s="179">
        <f t="shared" si="55"/>
        <v>0.1658726462490378</v>
      </c>
      <c r="BE50" s="179">
        <f t="shared" si="96"/>
        <v>0.15392878865651291</v>
      </c>
      <c r="BF50" s="179"/>
      <c r="BG50" s="546">
        <f t="shared" si="97"/>
        <v>9.6298071707804512E-3</v>
      </c>
      <c r="BH50" s="546">
        <f t="shared" si="98"/>
        <v>3.7296324398547534E-2</v>
      </c>
      <c r="BI50" s="546">
        <f t="shared" si="99"/>
        <v>4.3749999999999995E-3</v>
      </c>
      <c r="BJ50" s="546">
        <f t="shared" si="100"/>
        <v>2.2996093750000002E-2</v>
      </c>
      <c r="BK50">
        <f t="shared" si="101"/>
        <v>3.48E-3</v>
      </c>
      <c r="BL50" s="546">
        <f t="shared" si="102"/>
        <v>7.8037615630868376E-2</v>
      </c>
      <c r="BM50" s="472">
        <f t="shared" si="56"/>
        <v>78.037615630868373</v>
      </c>
      <c r="BN50" s="546">
        <f t="shared" si="103"/>
        <v>1.485E-2</v>
      </c>
      <c r="BO50" s="546"/>
      <c r="BQ50" s="472">
        <f t="shared" si="57"/>
        <v>14.85</v>
      </c>
      <c r="BR50" s="546">
        <f t="shared" si="104"/>
        <v>5.5027469547316871E-3</v>
      </c>
      <c r="BS50" s="546">
        <f t="shared" si="105"/>
        <v>4.7388143954522838E-3</v>
      </c>
      <c r="BT50" s="546">
        <f t="shared" si="106"/>
        <v>1.1020769080544224E-2</v>
      </c>
      <c r="BU50" s="546">
        <f t="shared" si="107"/>
        <v>2.1279765472616622E-2</v>
      </c>
      <c r="BV50" s="546">
        <f t="shared" si="108"/>
        <v>9.947116461366182E-3</v>
      </c>
      <c r="BW50" s="472">
        <f t="shared" si="58"/>
        <v>31.226881933982806</v>
      </c>
      <c r="BX50" s="179">
        <f t="shared" si="59"/>
        <v>0.12411449756485118</v>
      </c>
      <c r="BY50" s="6">
        <f t="shared" si="60"/>
        <v>1.1880000000000002</v>
      </c>
      <c r="BZ50" s="179">
        <f t="shared" si="61"/>
        <v>0.9054087903188367</v>
      </c>
      <c r="CA50" s="6">
        <f t="shared" si="62"/>
        <v>90.540879031883676</v>
      </c>
      <c r="CD50" s="581">
        <f t="shared" si="109"/>
        <v>-50</v>
      </c>
      <c r="CE50">
        <f t="shared" si="110"/>
        <v>-50</v>
      </c>
    </row>
    <row r="51" spans="5:83" x14ac:dyDescent="0.2">
      <c r="E51" s="176">
        <v>46</v>
      </c>
      <c r="F51" s="223">
        <f t="shared" si="111"/>
        <v>5.0599999999999999E-2</v>
      </c>
      <c r="G51" s="223"/>
      <c r="H51" s="223">
        <f t="shared" si="64"/>
        <v>1.2143999999999999</v>
      </c>
      <c r="I51" s="559">
        <f t="shared" si="65"/>
        <v>12</v>
      </c>
      <c r="J51" s="178">
        <f t="shared" si="66"/>
        <v>24.25</v>
      </c>
      <c r="K51" s="454">
        <f t="shared" si="67"/>
        <v>36.25</v>
      </c>
      <c r="L51" s="454"/>
      <c r="M51" s="223">
        <f t="shared" si="68"/>
        <v>0.66896551724137931</v>
      </c>
      <c r="N51" s="178">
        <f t="shared" si="5"/>
        <v>5.528999999999999</v>
      </c>
      <c r="O51" s="178">
        <f t="shared" si="49"/>
        <v>1.2143999999999999</v>
      </c>
      <c r="P51" s="223">
        <f t="shared" si="69"/>
        <v>0.23037499999999997</v>
      </c>
      <c r="Q51" s="223">
        <f t="shared" si="70"/>
        <v>24</v>
      </c>
      <c r="R51" s="223">
        <f t="shared" si="71"/>
        <v>0.24250000000000002</v>
      </c>
      <c r="S51" s="178">
        <f t="shared" si="72"/>
        <v>151.35970859960352</v>
      </c>
      <c r="T51" s="178">
        <f t="shared" si="73"/>
        <v>24</v>
      </c>
      <c r="U51" s="223">
        <f t="shared" si="74"/>
        <v>0.31848073792729248</v>
      </c>
      <c r="V51" s="223">
        <f t="shared" si="75"/>
        <v>1.2473828902152289</v>
      </c>
      <c r="W51" s="223">
        <f t="shared" si="76"/>
        <v>0.61726163639516474</v>
      </c>
      <c r="X51" s="203">
        <f t="shared" si="77"/>
        <v>350</v>
      </c>
      <c r="Y51" s="454">
        <f t="shared" si="50"/>
        <v>350</v>
      </c>
      <c r="AA51" s="223">
        <f t="shared" si="78"/>
        <v>0.48799916151346817</v>
      </c>
      <c r="AB51" s="179">
        <f t="shared" si="79"/>
        <v>0.94581280788177335</v>
      </c>
      <c r="AC51" s="179">
        <f t="shared" si="80"/>
        <v>8.077227500912576E-2</v>
      </c>
      <c r="AD51" s="179"/>
      <c r="AE51" s="179">
        <f t="shared" si="81"/>
        <v>0.56206185567010303</v>
      </c>
      <c r="AF51" s="563">
        <f t="shared" si="112"/>
        <v>620.86674931059792</v>
      </c>
      <c r="AG51" s="546">
        <f t="shared" si="82"/>
        <v>2.8524639175257726E-2</v>
      </c>
      <c r="AI51" s="179">
        <f t="shared" si="83"/>
        <v>0.39627928792223577</v>
      </c>
      <c r="AJ51" s="179">
        <f t="shared" si="84"/>
        <v>0.39627928792223577</v>
      </c>
      <c r="AK51" s="179">
        <f t="shared" si="85"/>
        <v>1.2787253984609153</v>
      </c>
      <c r="AM51" s="563">
        <f t="shared" si="86"/>
        <v>50.6</v>
      </c>
      <c r="AN51" s="472">
        <f t="shared" si="87"/>
        <v>350</v>
      </c>
      <c r="AP51">
        <f t="shared" si="88"/>
        <v>50.6</v>
      </c>
      <c r="AQ51" s="472">
        <f t="shared" si="89"/>
        <v>350</v>
      </c>
      <c r="AR51" s="472"/>
      <c r="AS51" s="6">
        <f t="shared" si="51"/>
        <v>2.8571428571428572</v>
      </c>
      <c r="AT51" s="6">
        <f t="shared" si="90"/>
        <v>1.5520938776954232</v>
      </c>
      <c r="AU51" s="6">
        <f t="shared" si="52"/>
        <v>1.305048979447434</v>
      </c>
      <c r="AV51" s="6">
        <f t="shared" si="91"/>
        <v>0.76804645494206514</v>
      </c>
      <c r="AW51" s="179">
        <f t="shared" si="53"/>
        <v>0.54323285719339809</v>
      </c>
      <c r="AX51" s="179">
        <f t="shared" si="92"/>
        <v>1.2916315789473685</v>
      </c>
      <c r="AY51" s="179">
        <f t="shared" si="93"/>
        <v>9.0503679048837188E-2</v>
      </c>
      <c r="AZ51" s="179">
        <f t="shared" si="54"/>
        <v>14.271591967552878</v>
      </c>
      <c r="BA51" s="472">
        <f t="shared" si="94"/>
        <v>0.32723312588078501</v>
      </c>
      <c r="BB51" s="6">
        <f t="shared" si="95"/>
        <v>0.23170343284224618</v>
      </c>
      <c r="BC51" s="6"/>
      <c r="BD51" s="179">
        <f t="shared" si="55"/>
        <v>0.1686295812923726</v>
      </c>
      <c r="BE51" s="179">
        <f t="shared" si="96"/>
        <v>0.15462801274416779</v>
      </c>
      <c r="BF51" s="179"/>
      <c r="BG51" s="546">
        <f t="shared" si="97"/>
        <v>9.9525774903943143E-3</v>
      </c>
      <c r="BH51" s="546">
        <f t="shared" si="98"/>
        <v>3.7708450991350249E-2</v>
      </c>
      <c r="BI51" s="546">
        <f t="shared" si="99"/>
        <v>4.3749999999999995E-3</v>
      </c>
      <c r="BJ51" s="546">
        <f t="shared" si="100"/>
        <v>2.2996093750000002E-2</v>
      </c>
      <c r="BK51">
        <f t="shared" si="101"/>
        <v>3.48E-3</v>
      </c>
      <c r="BL51" s="546">
        <f t="shared" si="102"/>
        <v>7.8783813578079481E-2</v>
      </c>
      <c r="BM51" s="472">
        <f t="shared" si="56"/>
        <v>78.783813578079474</v>
      </c>
      <c r="BN51" s="546">
        <f t="shared" si="103"/>
        <v>1.5179999999999999E-2</v>
      </c>
      <c r="BO51" s="546"/>
      <c r="BQ51" s="472">
        <f t="shared" si="57"/>
        <v>15.18</v>
      </c>
      <c r="BR51" s="546">
        <f t="shared" si="104"/>
        <v>5.68718713736818E-3</v>
      </c>
      <c r="BS51" s="546">
        <f t="shared" si="105"/>
        <v>4.7819644650421034E-3</v>
      </c>
      <c r="BT51" s="546">
        <f t="shared" si="106"/>
        <v>1.1327747244098492E-2</v>
      </c>
      <c r="BU51" s="546">
        <f t="shared" si="107"/>
        <v>2.1815169752058102E-2</v>
      </c>
      <c r="BV51" s="546">
        <f t="shared" si="108"/>
        <v>1.0168163493840985E-2</v>
      </c>
      <c r="BW51" s="472">
        <f t="shared" si="58"/>
        <v>31.98333324589909</v>
      </c>
      <c r="BX51" s="179">
        <f t="shared" si="59"/>
        <v>0.12594714682397856</v>
      </c>
      <c r="BY51" s="6">
        <f t="shared" si="60"/>
        <v>1.2143999999999999</v>
      </c>
      <c r="BZ51" s="179">
        <f t="shared" si="61"/>
        <v>0.90603393522162012</v>
      </c>
      <c r="CA51" s="6">
        <f t="shared" si="62"/>
        <v>90.603393522162008</v>
      </c>
      <c r="CD51" s="581">
        <f t="shared" si="109"/>
        <v>-50</v>
      </c>
      <c r="CE51">
        <f t="shared" si="110"/>
        <v>-50</v>
      </c>
    </row>
    <row r="52" spans="5:83" x14ac:dyDescent="0.2">
      <c r="E52" s="176">
        <v>47</v>
      </c>
      <c r="F52" s="223">
        <f t="shared" si="111"/>
        <v>5.1699999999999996E-2</v>
      </c>
      <c r="G52" s="223"/>
      <c r="H52" s="223">
        <f t="shared" si="64"/>
        <v>1.2407999999999999</v>
      </c>
      <c r="I52" s="559">
        <f t="shared" si="65"/>
        <v>12</v>
      </c>
      <c r="J52" s="178">
        <f t="shared" si="66"/>
        <v>24.25</v>
      </c>
      <c r="K52" s="454">
        <f t="shared" si="67"/>
        <v>36.25</v>
      </c>
      <c r="L52" s="454"/>
      <c r="M52" s="223">
        <f t="shared" si="68"/>
        <v>0.66896551724137931</v>
      </c>
      <c r="N52" s="178">
        <f t="shared" si="5"/>
        <v>5.528999999999999</v>
      </c>
      <c r="O52" s="178">
        <f t="shared" si="49"/>
        <v>1.2407999999999999</v>
      </c>
      <c r="P52" s="223">
        <f t="shared" si="69"/>
        <v>0.23037499999999997</v>
      </c>
      <c r="Q52" s="223">
        <f t="shared" si="70"/>
        <v>24</v>
      </c>
      <c r="R52" s="223">
        <f t="shared" si="71"/>
        <v>0.24250000000000002</v>
      </c>
      <c r="S52" s="178">
        <f t="shared" si="72"/>
        <v>147.88485529875416</v>
      </c>
      <c r="T52" s="178">
        <f t="shared" si="73"/>
        <v>24</v>
      </c>
      <c r="U52" s="223">
        <f t="shared" si="74"/>
        <v>0.32540423223005971</v>
      </c>
      <c r="V52" s="223">
        <f t="shared" si="75"/>
        <v>1.2744999095677338</v>
      </c>
      <c r="W52" s="223">
        <f t="shared" si="76"/>
        <v>0.63068036762114665</v>
      </c>
      <c r="X52" s="203">
        <f t="shared" si="77"/>
        <v>350</v>
      </c>
      <c r="Y52" s="454">
        <f t="shared" si="50"/>
        <v>350</v>
      </c>
      <c r="AA52" s="223">
        <f t="shared" si="78"/>
        <v>0.48799916151346817</v>
      </c>
      <c r="AB52" s="179">
        <f t="shared" si="79"/>
        <v>0.94581280788177335</v>
      </c>
      <c r="AC52" s="179">
        <f t="shared" si="80"/>
        <v>8.077227500912576E-2</v>
      </c>
      <c r="AD52" s="179"/>
      <c r="AE52" s="179">
        <f t="shared" si="81"/>
        <v>0.56206185567010303</v>
      </c>
      <c r="AF52" s="563">
        <f t="shared" si="112"/>
        <v>634.36385255648042</v>
      </c>
      <c r="AG52" s="546">
        <f t="shared" si="82"/>
        <v>2.8524639175257726E-2</v>
      </c>
      <c r="AI52" s="179">
        <f t="shared" si="83"/>
        <v>0.40056351284103359</v>
      </c>
      <c r="AJ52" s="179">
        <f t="shared" si="84"/>
        <v>0.40056351284103359</v>
      </c>
      <c r="AK52" s="179">
        <f t="shared" si="85"/>
        <v>1.2818988984007655</v>
      </c>
      <c r="AM52" s="563">
        <f t="shared" si="86"/>
        <v>51.699999999999996</v>
      </c>
      <c r="AN52" s="472">
        <f t="shared" si="87"/>
        <v>350</v>
      </c>
      <c r="AP52">
        <f t="shared" si="88"/>
        <v>51.699999999999996</v>
      </c>
      <c r="AQ52" s="472">
        <f t="shared" si="89"/>
        <v>350</v>
      </c>
      <c r="AR52" s="472"/>
      <c r="AS52" s="6">
        <f t="shared" si="51"/>
        <v>2.8571428571428572</v>
      </c>
      <c r="AT52" s="6">
        <f t="shared" si="90"/>
        <v>1.5688737586273815</v>
      </c>
      <c r="AU52" s="6">
        <f t="shared" si="52"/>
        <v>1.2882690985154757</v>
      </c>
      <c r="AV52" s="6">
        <f t="shared" si="91"/>
        <v>0.77634990117643621</v>
      </c>
      <c r="AW52" s="179">
        <f t="shared" si="53"/>
        <v>0.54910581551958348</v>
      </c>
      <c r="AX52" s="179">
        <f t="shared" si="92"/>
        <v>1.3197105263157893</v>
      </c>
      <c r="AY52" s="179">
        <f t="shared" si="93"/>
        <v>9.0305879227534344E-2</v>
      </c>
      <c r="AZ52" s="179">
        <f t="shared" si="54"/>
        <v>14.613783040533294</v>
      </c>
      <c r="BA52" s="472">
        <f t="shared" si="94"/>
        <v>0.33796155550431506</v>
      </c>
      <c r="BB52" s="6">
        <f t="shared" si="95"/>
        <v>0.23369653471315815</v>
      </c>
      <c r="BC52" s="6"/>
      <c r="BD52" s="179">
        <f t="shared" si="55"/>
        <v>0.17137157231426522</v>
      </c>
      <c r="BE52" s="179">
        <f t="shared" si="96"/>
        <v>0.15529164007028684</v>
      </c>
      <c r="BF52" s="179"/>
      <c r="BG52" s="546">
        <f t="shared" si="97"/>
        <v>1.0278875529112202E-2</v>
      </c>
      <c r="BH52" s="546">
        <f t="shared" si="98"/>
        <v>3.8116121768779591E-2</v>
      </c>
      <c r="BI52" s="546">
        <f t="shared" si="99"/>
        <v>4.3749999999999995E-3</v>
      </c>
      <c r="BJ52" s="546">
        <f t="shared" si="100"/>
        <v>2.2996093750000002E-2</v>
      </c>
      <c r="BK52">
        <f t="shared" si="101"/>
        <v>3.48E-3</v>
      </c>
      <c r="BL52" s="546">
        <f t="shared" si="102"/>
        <v>7.9529345179054314E-2</v>
      </c>
      <c r="BM52" s="472">
        <f t="shared" si="56"/>
        <v>79.529345179054317</v>
      </c>
      <c r="BN52" s="546">
        <f t="shared" si="103"/>
        <v>1.5509999999999998E-2</v>
      </c>
      <c r="BO52" s="546"/>
      <c r="BQ52" s="472">
        <f t="shared" si="57"/>
        <v>15.509999999999998</v>
      </c>
      <c r="BR52" s="546">
        <f t="shared" si="104"/>
        <v>5.8736431594926877E-3</v>
      </c>
      <c r="BS52" s="546">
        <f t="shared" si="105"/>
        <v>4.8230986951439039E-3</v>
      </c>
      <c r="BT52" s="546">
        <f t="shared" si="106"/>
        <v>1.1636398424675587E-2</v>
      </c>
      <c r="BU52" s="546">
        <f t="shared" si="107"/>
        <v>2.2352267994560457E-2</v>
      </c>
      <c r="BV52" s="546">
        <f t="shared" si="108"/>
        <v>1.0389210526315789E-2</v>
      </c>
      <c r="BW52" s="472">
        <f t="shared" si="58"/>
        <v>32.74147852087625</v>
      </c>
      <c r="BX52" s="179">
        <f t="shared" si="59"/>
        <v>0.12778082369993055</v>
      </c>
      <c r="BY52" s="6">
        <f t="shared" si="60"/>
        <v>1.2407999999999999</v>
      </c>
      <c r="BZ52" s="179">
        <f t="shared" si="61"/>
        <v>0.90663260694061343</v>
      </c>
      <c r="CA52" s="6">
        <f t="shared" si="62"/>
        <v>90.663260694061336</v>
      </c>
      <c r="CD52" s="581">
        <f t="shared" si="109"/>
        <v>-50</v>
      </c>
      <c r="CE52">
        <f t="shared" si="110"/>
        <v>-50</v>
      </c>
    </row>
    <row r="53" spans="5:83" x14ac:dyDescent="0.2">
      <c r="E53" s="176">
        <v>48</v>
      </c>
      <c r="F53" s="223">
        <f t="shared" si="111"/>
        <v>5.28E-2</v>
      </c>
      <c r="G53" s="223"/>
      <c r="H53" s="223">
        <f t="shared" si="64"/>
        <v>1.2671999999999999</v>
      </c>
      <c r="I53" s="559">
        <f t="shared" si="65"/>
        <v>12</v>
      </c>
      <c r="J53" s="178">
        <f t="shared" si="66"/>
        <v>24.25</v>
      </c>
      <c r="K53" s="454">
        <f t="shared" si="67"/>
        <v>36.25</v>
      </c>
      <c r="L53" s="454"/>
      <c r="M53" s="223">
        <f t="shared" si="68"/>
        <v>0.66896551724137931</v>
      </c>
      <c r="N53" s="178">
        <f t="shared" si="5"/>
        <v>5.528999999999999</v>
      </c>
      <c r="O53" s="178">
        <f t="shared" si="49"/>
        <v>1.2671999999999999</v>
      </c>
      <c r="P53" s="223">
        <f t="shared" si="69"/>
        <v>0.23037499999999997</v>
      </c>
      <c r="Q53" s="223">
        <f t="shared" si="70"/>
        <v>24</v>
      </c>
      <c r="R53" s="223">
        <f t="shared" si="71"/>
        <v>0.24250000000000002</v>
      </c>
      <c r="S53" s="178">
        <f t="shared" si="72"/>
        <v>144.55480845315623</v>
      </c>
      <c r="T53" s="178">
        <f t="shared" si="73"/>
        <v>24</v>
      </c>
      <c r="U53" s="223">
        <f t="shared" si="74"/>
        <v>0.33232772653282694</v>
      </c>
      <c r="V53" s="223">
        <f t="shared" si="75"/>
        <v>1.3016169289202388</v>
      </c>
      <c r="W53" s="223">
        <f t="shared" si="76"/>
        <v>0.64409909884712846</v>
      </c>
      <c r="X53" s="203">
        <f t="shared" si="77"/>
        <v>350</v>
      </c>
      <c r="Y53" s="454">
        <f t="shared" si="50"/>
        <v>350</v>
      </c>
      <c r="AA53" s="223">
        <f t="shared" si="78"/>
        <v>0.48799916151346817</v>
      </c>
      <c r="AB53" s="179">
        <f t="shared" si="79"/>
        <v>0.94581280788177335</v>
      </c>
      <c r="AC53" s="179">
        <f t="shared" si="80"/>
        <v>8.077227500912576E-2</v>
      </c>
      <c r="AD53" s="179"/>
      <c r="AE53" s="179">
        <f t="shared" si="81"/>
        <v>0.56206185567010303</v>
      </c>
      <c r="AF53" s="563">
        <f t="shared" si="112"/>
        <v>647.86095580236315</v>
      </c>
      <c r="AG53" s="546">
        <f t="shared" si="82"/>
        <v>2.8524639175257726E-2</v>
      </c>
      <c r="AI53" s="179">
        <f t="shared" si="83"/>
        <v>0.40480239821787561</v>
      </c>
      <c r="AJ53" s="179">
        <f t="shared" si="84"/>
        <v>0.40480239821787561</v>
      </c>
      <c r="AK53" s="179">
        <f t="shared" si="85"/>
        <v>1.2850388134947226</v>
      </c>
      <c r="AM53" s="563">
        <f t="shared" si="86"/>
        <v>52.8</v>
      </c>
      <c r="AN53" s="472">
        <f t="shared" si="87"/>
        <v>350</v>
      </c>
      <c r="AP53">
        <f t="shared" si="88"/>
        <v>52.8</v>
      </c>
      <c r="AQ53" s="472">
        <f t="shared" si="89"/>
        <v>350</v>
      </c>
      <c r="AR53" s="472"/>
      <c r="AS53" s="6">
        <f t="shared" si="51"/>
        <v>2.8571428571428572</v>
      </c>
      <c r="AT53" s="6">
        <f t="shared" si="90"/>
        <v>1.5854760596866795</v>
      </c>
      <c r="AU53" s="6">
        <f t="shared" si="52"/>
        <v>1.2716667974561777</v>
      </c>
      <c r="AV53" s="6">
        <f t="shared" si="91"/>
        <v>0.78456547283464551</v>
      </c>
      <c r="AW53" s="179">
        <f t="shared" si="53"/>
        <v>0.55491662089033778</v>
      </c>
      <c r="AX53" s="179">
        <f t="shared" si="92"/>
        <v>1.3477894736842106</v>
      </c>
      <c r="AY53" s="179">
        <f t="shared" si="93"/>
        <v>9.0085409635253591E-2</v>
      </c>
      <c r="AZ53" s="179">
        <f t="shared" si="54"/>
        <v>14.961240439947705</v>
      </c>
      <c r="BA53" s="472">
        <f t="shared" si="94"/>
        <v>0.34880473313106947</v>
      </c>
      <c r="BB53" s="6">
        <f t="shared" si="95"/>
        <v>0.23559300668661817</v>
      </c>
      <c r="BC53" s="6"/>
      <c r="BD53" s="179">
        <f t="shared" si="55"/>
        <v>0.17409901576723785</v>
      </c>
      <c r="BE53" s="179">
        <f t="shared" si="96"/>
        <v>0.15592047089203387</v>
      </c>
      <c r="BF53" s="179"/>
      <c r="BG53" s="546">
        <f t="shared" si="97"/>
        <v>1.0608663551892326E-2</v>
      </c>
      <c r="BH53" s="546">
        <f t="shared" si="98"/>
        <v>3.8519478205419719E-2</v>
      </c>
      <c r="BI53" s="546">
        <f t="shared" si="99"/>
        <v>4.3749999999999995E-3</v>
      </c>
      <c r="BJ53" s="546">
        <f t="shared" si="100"/>
        <v>2.2996093750000002E-2</v>
      </c>
      <c r="BK53">
        <f t="shared" si="101"/>
        <v>3.48E-3</v>
      </c>
      <c r="BL53" s="546">
        <f t="shared" si="102"/>
        <v>8.0274316019754405E-2</v>
      </c>
      <c r="BM53" s="472">
        <f t="shared" si="56"/>
        <v>80.274316019754409</v>
      </c>
      <c r="BN53" s="546">
        <f t="shared" si="103"/>
        <v>1.584E-2</v>
      </c>
      <c r="BO53" s="546"/>
      <c r="BQ53" s="472">
        <f t="shared" si="57"/>
        <v>15.84</v>
      </c>
      <c r="BR53" s="546">
        <f t="shared" si="104"/>
        <v>6.0620934582241871E-3</v>
      </c>
      <c r="BS53" s="546">
        <f t="shared" si="105"/>
        <v>4.862238648638717E-3</v>
      </c>
      <c r="BT53" s="546">
        <f t="shared" si="106"/>
        <v>1.1946695849971935E-2</v>
      </c>
      <c r="BU53" s="546">
        <f t="shared" si="107"/>
        <v>2.2891033497010091E-2</v>
      </c>
      <c r="BV53" s="546">
        <f t="shared" si="108"/>
        <v>1.0610257558790597E-2</v>
      </c>
      <c r="BW53" s="472">
        <f t="shared" si="58"/>
        <v>33.501291055800685</v>
      </c>
      <c r="BX53" s="179">
        <f t="shared" si="59"/>
        <v>0.12961560707555508</v>
      </c>
      <c r="BY53" s="6">
        <f t="shared" si="60"/>
        <v>1.2671999999999999</v>
      </c>
      <c r="BZ53" s="179">
        <f t="shared" si="61"/>
        <v>0.9072063582200911</v>
      </c>
      <c r="CA53" s="6">
        <f t="shared" si="62"/>
        <v>90.720635822009115</v>
      </c>
      <c r="CD53" s="581">
        <f t="shared" si="109"/>
        <v>-50</v>
      </c>
      <c r="CE53">
        <f t="shared" si="110"/>
        <v>-50</v>
      </c>
    </row>
    <row r="54" spans="5:83" x14ac:dyDescent="0.2">
      <c r="E54" s="176">
        <v>49</v>
      </c>
      <c r="F54" s="223">
        <f t="shared" si="111"/>
        <v>5.3899999999999997E-2</v>
      </c>
      <c r="G54" s="223"/>
      <c r="H54" s="223">
        <f t="shared" si="64"/>
        <v>1.2935999999999999</v>
      </c>
      <c r="I54" s="559">
        <f t="shared" si="65"/>
        <v>12</v>
      </c>
      <c r="J54" s="178">
        <f t="shared" si="66"/>
        <v>24.25</v>
      </c>
      <c r="K54" s="454">
        <f t="shared" si="67"/>
        <v>36.25</v>
      </c>
      <c r="L54" s="454"/>
      <c r="M54" s="223">
        <f t="shared" si="68"/>
        <v>0.66896551724137931</v>
      </c>
      <c r="N54" s="178">
        <f t="shared" si="5"/>
        <v>5.528999999999999</v>
      </c>
      <c r="O54" s="178">
        <f t="shared" si="49"/>
        <v>1.2935999999999999</v>
      </c>
      <c r="P54" s="223">
        <f t="shared" si="69"/>
        <v>0.23037499999999997</v>
      </c>
      <c r="Q54" s="223">
        <f t="shared" si="70"/>
        <v>24</v>
      </c>
      <c r="R54" s="223">
        <f t="shared" si="71"/>
        <v>0.24250000000000002</v>
      </c>
      <c r="S54" s="178">
        <f t="shared" si="72"/>
        <v>141.36070246470933</v>
      </c>
      <c r="T54" s="178">
        <f t="shared" si="73"/>
        <v>24</v>
      </c>
      <c r="U54" s="223">
        <f t="shared" si="74"/>
        <v>0.33925122083559411</v>
      </c>
      <c r="V54" s="223">
        <f t="shared" si="75"/>
        <v>1.3287339482727436</v>
      </c>
      <c r="W54" s="223">
        <f t="shared" si="76"/>
        <v>0.65751783007311027</v>
      </c>
      <c r="X54" s="203">
        <f t="shared" si="77"/>
        <v>350</v>
      </c>
      <c r="Y54" s="454">
        <f t="shared" si="50"/>
        <v>350</v>
      </c>
      <c r="AA54" s="223">
        <f t="shared" si="78"/>
        <v>0.48799916151346817</v>
      </c>
      <c r="AB54" s="179">
        <f t="shared" si="79"/>
        <v>0.94581280788177335</v>
      </c>
      <c r="AC54" s="179">
        <f t="shared" si="80"/>
        <v>8.077227500912576E-2</v>
      </c>
      <c r="AD54" s="179"/>
      <c r="AE54" s="179">
        <f t="shared" si="81"/>
        <v>0.56206185567010303</v>
      </c>
      <c r="AF54" s="563">
        <f t="shared" si="112"/>
        <v>661.35805904824554</v>
      </c>
      <c r="AG54" s="546">
        <f t="shared" si="82"/>
        <v>2.8524639175257726E-2</v>
      </c>
      <c r="AI54" s="179">
        <f t="shared" si="83"/>
        <v>0.408997353764469</v>
      </c>
      <c r="AJ54" s="179">
        <f t="shared" si="84"/>
        <v>0.408997353764469</v>
      </c>
      <c r="AK54" s="179">
        <f t="shared" si="85"/>
        <v>1.2881461879736806</v>
      </c>
      <c r="AM54" s="563">
        <f t="shared" si="86"/>
        <v>53.9</v>
      </c>
      <c r="AN54" s="472">
        <f t="shared" si="87"/>
        <v>350</v>
      </c>
      <c r="AP54">
        <f t="shared" si="88"/>
        <v>53.9</v>
      </c>
      <c r="AQ54" s="472">
        <f t="shared" si="89"/>
        <v>350</v>
      </c>
      <c r="AR54" s="472"/>
      <c r="AS54" s="6">
        <f t="shared" si="51"/>
        <v>2.8571428571428572</v>
      </c>
      <c r="AT54" s="6">
        <f t="shared" si="90"/>
        <v>1.60190630224417</v>
      </c>
      <c r="AU54" s="6">
        <f t="shared" si="52"/>
        <v>1.2552365548986872</v>
      </c>
      <c r="AV54" s="6">
        <f t="shared" si="91"/>
        <v>0.79269590214144503</v>
      </c>
      <c r="AW54" s="179">
        <f t="shared" si="53"/>
        <v>0.56066720578545948</v>
      </c>
      <c r="AX54" s="179">
        <f t="shared" si="92"/>
        <v>1.3758684210526315</v>
      </c>
      <c r="AY54" s="179">
        <f t="shared" si="93"/>
        <v>8.9842975127848543E-2</v>
      </c>
      <c r="AZ54" s="179">
        <f t="shared" si="54"/>
        <v>15.314145809338351</v>
      </c>
      <c r="BA54" s="472">
        <f t="shared" si="94"/>
        <v>0.35976145704566981</v>
      </c>
      <c r="BB54" s="6">
        <f t="shared" si="95"/>
        <v>0.23739386073347093</v>
      </c>
      <c r="BC54" s="6"/>
      <c r="BD54" s="179">
        <f t="shared" si="55"/>
        <v>0.17681228956448333</v>
      </c>
      <c r="BE54" s="179">
        <f t="shared" si="96"/>
        <v>0.15651525821596876</v>
      </c>
      <c r="BF54" s="179"/>
      <c r="BG54" s="546">
        <f t="shared" si="97"/>
        <v>1.0941905009362145E-2</v>
      </c>
      <c r="BH54" s="546">
        <f t="shared" si="98"/>
        <v>3.8918654444150255E-2</v>
      </c>
      <c r="BI54" s="546">
        <f t="shared" si="99"/>
        <v>4.3749999999999995E-3</v>
      </c>
      <c r="BJ54" s="546">
        <f t="shared" si="100"/>
        <v>2.2996093750000002E-2</v>
      </c>
      <c r="BK54">
        <f t="shared" si="101"/>
        <v>3.48E-3</v>
      </c>
      <c r="BL54" s="546">
        <f t="shared" si="102"/>
        <v>8.1018825555104118E-2</v>
      </c>
      <c r="BM54" s="472">
        <f t="shared" si="56"/>
        <v>81.018825555104115</v>
      </c>
      <c r="BN54" s="546">
        <f t="shared" si="103"/>
        <v>1.6169999999999997E-2</v>
      </c>
      <c r="BO54" s="546"/>
      <c r="BQ54" s="472">
        <f t="shared" si="57"/>
        <v>16.169999999999998</v>
      </c>
      <c r="BR54" s="546">
        <f t="shared" si="104"/>
        <v>6.2525171482069406E-3</v>
      </c>
      <c r="BS54" s="546">
        <f t="shared" si="105"/>
        <v>4.899405210882276E-3</v>
      </c>
      <c r="BT54" s="546">
        <f t="shared" si="106"/>
        <v>1.2258613726530435E-2</v>
      </c>
      <c r="BU54" s="546">
        <f t="shared" si="107"/>
        <v>2.3431440534067455E-2</v>
      </c>
      <c r="BV54" s="546">
        <f t="shared" si="108"/>
        <v>1.0831304591265399E-2</v>
      </c>
      <c r="BW54" s="472">
        <f t="shared" si="58"/>
        <v>34.262745125332856</v>
      </c>
      <c r="BX54" s="179">
        <f t="shared" si="59"/>
        <v>0.13145157068043697</v>
      </c>
      <c r="BY54" s="6">
        <f t="shared" si="60"/>
        <v>1.2935999999999999</v>
      </c>
      <c r="BZ54" s="179">
        <f t="shared" si="61"/>
        <v>0.90775662201637297</v>
      </c>
      <c r="CA54" s="6">
        <f t="shared" si="62"/>
        <v>90.775662201637303</v>
      </c>
      <c r="CD54" s="581">
        <f t="shared" si="109"/>
        <v>-50</v>
      </c>
      <c r="CE54">
        <f t="shared" si="110"/>
        <v>-50</v>
      </c>
    </row>
    <row r="55" spans="5:83" x14ac:dyDescent="0.2">
      <c r="E55" s="176">
        <v>50</v>
      </c>
      <c r="F55" s="223">
        <f t="shared" si="111"/>
        <v>5.5E-2</v>
      </c>
      <c r="G55" s="223"/>
      <c r="H55" s="223">
        <f t="shared" si="64"/>
        <v>1.32</v>
      </c>
      <c r="I55" s="559">
        <f t="shared" si="65"/>
        <v>12</v>
      </c>
      <c r="J55" s="178">
        <f t="shared" si="66"/>
        <v>24.25</v>
      </c>
      <c r="K55" s="454">
        <f t="shared" si="67"/>
        <v>36.25</v>
      </c>
      <c r="L55" s="454"/>
      <c r="M55" s="223">
        <f t="shared" si="68"/>
        <v>0.66896551724137931</v>
      </c>
      <c r="N55" s="178">
        <f t="shared" si="5"/>
        <v>5.528999999999999</v>
      </c>
      <c r="O55" s="178">
        <f t="shared" si="49"/>
        <v>1.32</v>
      </c>
      <c r="P55" s="223">
        <f t="shared" si="69"/>
        <v>0.23037499999999997</v>
      </c>
      <c r="Q55" s="223">
        <f t="shared" si="70"/>
        <v>24</v>
      </c>
      <c r="R55" s="223">
        <f t="shared" si="71"/>
        <v>0.24250000000000002</v>
      </c>
      <c r="S55" s="178">
        <f t="shared" si="72"/>
        <v>138.29438098382474</v>
      </c>
      <c r="T55" s="178">
        <f t="shared" si="73"/>
        <v>24</v>
      </c>
      <c r="U55" s="223">
        <f t="shared" si="74"/>
        <v>0.3461747151383614</v>
      </c>
      <c r="V55" s="223">
        <f t="shared" si="75"/>
        <v>1.3558509676252488</v>
      </c>
      <c r="W55" s="223">
        <f t="shared" si="76"/>
        <v>0.67093656129909218</v>
      </c>
      <c r="X55" s="203">
        <f t="shared" si="77"/>
        <v>350</v>
      </c>
      <c r="Y55" s="454">
        <f t="shared" si="50"/>
        <v>350</v>
      </c>
      <c r="AA55" s="223">
        <f t="shared" si="78"/>
        <v>0.48799916151346817</v>
      </c>
      <c r="AB55" s="179">
        <f t="shared" si="79"/>
        <v>0.94581280788177335</v>
      </c>
      <c r="AC55" s="179">
        <f t="shared" si="80"/>
        <v>8.077227500912576E-2</v>
      </c>
      <c r="AD55" s="179"/>
      <c r="AE55" s="179">
        <f t="shared" si="81"/>
        <v>0.56206185567010303</v>
      </c>
      <c r="AF55" s="563">
        <f t="shared" si="112"/>
        <v>674.85516229412826</v>
      </c>
      <c r="AG55" s="546">
        <f t="shared" si="82"/>
        <v>2.8524639175257726E-2</v>
      </c>
      <c r="AI55" s="179">
        <f t="shared" si="83"/>
        <v>0.41314971762029906</v>
      </c>
      <c r="AJ55" s="179">
        <f t="shared" si="84"/>
        <v>0.41314971762029906</v>
      </c>
      <c r="AK55" s="179">
        <f t="shared" si="85"/>
        <v>1.2912220130520733</v>
      </c>
      <c r="AM55" s="563">
        <f t="shared" si="86"/>
        <v>55</v>
      </c>
      <c r="AN55" s="472">
        <f t="shared" si="87"/>
        <v>350</v>
      </c>
      <c r="AP55">
        <f t="shared" si="88"/>
        <v>55</v>
      </c>
      <c r="AQ55" s="472">
        <f t="shared" si="89"/>
        <v>350</v>
      </c>
      <c r="AR55" s="472"/>
      <c r="AS55" s="6">
        <f t="shared" si="51"/>
        <v>2.8571428571428572</v>
      </c>
      <c r="AT55" s="6">
        <f t="shared" si="90"/>
        <v>1.6181697273461713</v>
      </c>
      <c r="AU55" s="6">
        <f t="shared" si="52"/>
        <v>1.2389731297966859</v>
      </c>
      <c r="AV55" s="6">
        <f t="shared" si="91"/>
        <v>0.80074378260429102</v>
      </c>
      <c r="AW55" s="179">
        <f t="shared" si="53"/>
        <v>0.56635940457115996</v>
      </c>
      <c r="AX55" s="179">
        <f t="shared" si="92"/>
        <v>1.4039473684210526</v>
      </c>
      <c r="AY55" s="179">
        <f t="shared" si="93"/>
        <v>8.9579244775061809E-2</v>
      </c>
      <c r="AZ55" s="179">
        <f t="shared" si="54"/>
        <v>15.672685921235864</v>
      </c>
      <c r="BA55" s="472">
        <f t="shared" si="94"/>
        <v>0.37083056251683089</v>
      </c>
      <c r="BB55" s="6">
        <f t="shared" si="95"/>
        <v>0.23910007768006217</v>
      </c>
      <c r="BC55" s="6"/>
      <c r="BD55" s="179">
        <f t="shared" si="55"/>
        <v>0.17951175430671198</v>
      </c>
      <c r="BE55" s="179">
        <f t="shared" si="96"/>
        <v>0.15707671094819972</v>
      </c>
      <c r="BF55" s="179"/>
      <c r="BG55" s="546">
        <f t="shared" si="97"/>
        <v>1.1278564476995665E-2</v>
      </c>
      <c r="BH55" s="546">
        <f t="shared" si="98"/>
        <v>3.9313777817306571E-2</v>
      </c>
      <c r="BI55" s="546">
        <f t="shared" si="99"/>
        <v>4.3749999999999995E-3</v>
      </c>
      <c r="BJ55" s="546">
        <f t="shared" si="100"/>
        <v>2.2996093750000002E-2</v>
      </c>
      <c r="BK55">
        <f t="shared" si="101"/>
        <v>3.48E-3</v>
      </c>
      <c r="BL55" s="546">
        <f t="shared" si="102"/>
        <v>8.1762967568690684E-2</v>
      </c>
      <c r="BM55" s="472">
        <f t="shared" si="56"/>
        <v>81.762967568690684</v>
      </c>
      <c r="BN55" s="546">
        <f t="shared" si="103"/>
        <v>1.6500000000000001E-2</v>
      </c>
      <c r="BO55" s="546"/>
      <c r="BQ55" s="472">
        <f t="shared" si="57"/>
        <v>16.5</v>
      </c>
      <c r="BR55" s="546">
        <f t="shared" si="104"/>
        <v>6.4448939868546667E-3</v>
      </c>
      <c r="BS55" s="546">
        <f t="shared" si="105"/>
        <v>4.9346186244608571E-3</v>
      </c>
      <c r="BT55" s="546">
        <f t="shared" si="106"/>
        <v>1.2572127184648002E-2</v>
      </c>
      <c r="BU55" s="546">
        <f t="shared" si="107"/>
        <v>2.3973464303113465E-2</v>
      </c>
      <c r="BV55" s="546">
        <f t="shared" si="108"/>
        <v>1.1052351623740202E-2</v>
      </c>
      <c r="BW55" s="472">
        <f t="shared" si="58"/>
        <v>35.025815926853667</v>
      </c>
      <c r="BX55" s="179">
        <f t="shared" si="59"/>
        <v>0.13328878349554435</v>
      </c>
      <c r="BY55" s="6">
        <f t="shared" si="60"/>
        <v>1.32</v>
      </c>
      <c r="BZ55" s="179">
        <f t="shared" si="61"/>
        <v>0.90828472289248008</v>
      </c>
      <c r="CA55" s="6">
        <f t="shared" si="62"/>
        <v>90.828472289248012</v>
      </c>
      <c r="CD55" s="581">
        <f t="shared" si="109"/>
        <v>-50</v>
      </c>
      <c r="CE55">
        <f t="shared" si="110"/>
        <v>-50</v>
      </c>
    </row>
    <row r="56" spans="5:83" x14ac:dyDescent="0.2">
      <c r="E56" s="176">
        <v>51</v>
      </c>
      <c r="F56" s="223">
        <f t="shared" si="111"/>
        <v>5.6100000000000004E-2</v>
      </c>
      <c r="G56" s="223"/>
      <c r="H56" s="223">
        <f t="shared" si="64"/>
        <v>1.3464</v>
      </c>
      <c r="I56" s="559">
        <f t="shared" si="65"/>
        <v>12</v>
      </c>
      <c r="J56" s="178">
        <f t="shared" si="66"/>
        <v>24.25</v>
      </c>
      <c r="K56" s="454">
        <f t="shared" si="67"/>
        <v>36.25</v>
      </c>
      <c r="L56" s="454"/>
      <c r="M56" s="223">
        <f t="shared" si="68"/>
        <v>0.66896551724137931</v>
      </c>
      <c r="N56" s="178">
        <f t="shared" si="5"/>
        <v>5.528999999999999</v>
      </c>
      <c r="O56" s="178">
        <f t="shared" si="49"/>
        <v>1.3464</v>
      </c>
      <c r="P56" s="223">
        <f t="shared" si="69"/>
        <v>0.23037499999999997</v>
      </c>
      <c r="Q56" s="223">
        <f t="shared" si="70"/>
        <v>24</v>
      </c>
      <c r="R56" s="223">
        <f t="shared" si="71"/>
        <v>0.24250000000000002</v>
      </c>
      <c r="S56" s="178">
        <f t="shared" si="72"/>
        <v>135.34832737526281</v>
      </c>
      <c r="T56" s="178">
        <f t="shared" si="73"/>
        <v>24</v>
      </c>
      <c r="U56" s="223">
        <f t="shared" si="74"/>
        <v>0.35309820944112863</v>
      </c>
      <c r="V56" s="223">
        <f t="shared" si="75"/>
        <v>1.3829679869777536</v>
      </c>
      <c r="W56" s="223">
        <f t="shared" si="76"/>
        <v>0.68435529252507399</v>
      </c>
      <c r="X56" s="203">
        <f t="shared" si="77"/>
        <v>350</v>
      </c>
      <c r="Y56" s="454">
        <f t="shared" si="50"/>
        <v>350</v>
      </c>
      <c r="AA56" s="223">
        <f t="shared" si="78"/>
        <v>0.48799916151346817</v>
      </c>
      <c r="AB56" s="179">
        <f t="shared" si="79"/>
        <v>0.94581280788177335</v>
      </c>
      <c r="AC56" s="179">
        <f t="shared" si="80"/>
        <v>8.077227500912576E-2</v>
      </c>
      <c r="AD56" s="179"/>
      <c r="AE56" s="179">
        <f t="shared" si="81"/>
        <v>0.56206185567010303</v>
      </c>
      <c r="AF56" s="563">
        <f t="shared" si="112"/>
        <v>688.35226554001076</v>
      </c>
      <c r="AG56" s="546">
        <f t="shared" si="82"/>
        <v>2.8524639175257726E-2</v>
      </c>
      <c r="AI56" s="179">
        <f t="shared" si="83"/>
        <v>0.41726076133891088</v>
      </c>
      <c r="AJ56" s="179">
        <f t="shared" si="84"/>
        <v>0.41726076133891088</v>
      </c>
      <c r="AK56" s="179">
        <f t="shared" si="85"/>
        <v>1.2942672306214154</v>
      </c>
      <c r="AM56" s="563">
        <f t="shared" si="86"/>
        <v>56.1</v>
      </c>
      <c r="AN56" s="472">
        <f t="shared" si="87"/>
        <v>350</v>
      </c>
      <c r="AP56">
        <f t="shared" si="88"/>
        <v>56.1</v>
      </c>
      <c r="AQ56" s="472">
        <f t="shared" si="89"/>
        <v>350</v>
      </c>
      <c r="AR56" s="472"/>
      <c r="AS56" s="6">
        <f t="shared" si="51"/>
        <v>2.8571428571428572</v>
      </c>
      <c r="AT56" s="6">
        <f t="shared" si="90"/>
        <v>1.6342713152440675</v>
      </c>
      <c r="AU56" s="6">
        <f t="shared" si="52"/>
        <v>1.2228715418987897</v>
      </c>
      <c r="AV56" s="6">
        <f t="shared" si="91"/>
        <v>0.80871157867747667</v>
      </c>
      <c r="AW56" s="179">
        <f t="shared" si="53"/>
        <v>0.57199496033542363</v>
      </c>
      <c r="AX56" s="179">
        <f t="shared" si="92"/>
        <v>1.4320263157894741</v>
      </c>
      <c r="AY56" s="179">
        <f t="shared" si="93"/>
        <v>8.9294854353665937E-2</v>
      </c>
      <c r="AZ56" s="179">
        <f t="shared" si="54"/>
        <v>16.037053043591008</v>
      </c>
      <c r="BA56" s="472">
        <f t="shared" si="94"/>
        <v>0.38201091993830083</v>
      </c>
      <c r="BB56" s="6">
        <f t="shared" si="95"/>
        <v>0.24071260877376174</v>
      </c>
      <c r="BC56" s="6"/>
      <c r="BD56" s="179">
        <f t="shared" si="55"/>
        <v>0.18219775440494312</v>
      </c>
      <c r="BE56" s="179">
        <f t="shared" si="96"/>
        <v>0.1576054967553645</v>
      </c>
      <c r="BF56" s="179"/>
      <c r="BG56" s="546">
        <f t="shared" si="97"/>
        <v>1.161860759857139E-2</v>
      </c>
      <c r="BH56" s="546">
        <f t="shared" si="98"/>
        <v>3.9704969321155734E-2</v>
      </c>
      <c r="BI56" s="546">
        <f t="shared" si="99"/>
        <v>4.3749999999999995E-3</v>
      </c>
      <c r="BJ56" s="546">
        <f t="shared" si="100"/>
        <v>2.2996093750000002E-2</v>
      </c>
      <c r="BK56">
        <f t="shared" si="101"/>
        <v>3.48E-3</v>
      </c>
      <c r="BL56" s="546">
        <f t="shared" si="102"/>
        <v>8.250683059010612E-2</v>
      </c>
      <c r="BM56" s="472">
        <f t="shared" si="56"/>
        <v>82.506830590106119</v>
      </c>
      <c r="BN56" s="546">
        <f t="shared" si="103"/>
        <v>1.6830000000000001E-2</v>
      </c>
      <c r="BO56" s="546"/>
      <c r="BQ56" s="472">
        <f t="shared" si="57"/>
        <v>16.830000000000002</v>
      </c>
      <c r="BR56" s="546">
        <f t="shared" si="104"/>
        <v>6.6392043420407942E-3</v>
      </c>
      <c r="BS56" s="546">
        <f t="shared" si="105"/>
        <v>4.9678985215010421E-3</v>
      </c>
      <c r="BT56" s="546">
        <f t="shared" si="106"/>
        <v>1.2887212227426925E-2</v>
      </c>
      <c r="BU56" s="546">
        <f t="shared" si="107"/>
        <v>2.4517080873337611E-2</v>
      </c>
      <c r="BV56" s="546">
        <f t="shared" si="108"/>
        <v>1.1273398656215008E-2</v>
      </c>
      <c r="BW56" s="472">
        <f t="shared" si="58"/>
        <v>35.79047952955262</v>
      </c>
      <c r="BX56" s="179">
        <f t="shared" si="59"/>
        <v>0.13512731011965873</v>
      </c>
      <c r="BY56" s="6">
        <f t="shared" si="60"/>
        <v>1.3464</v>
      </c>
      <c r="BZ56" s="179">
        <f t="shared" si="61"/>
        <v>0.90879188713116277</v>
      </c>
      <c r="CA56" s="6">
        <f t="shared" si="62"/>
        <v>90.879188713116278</v>
      </c>
      <c r="CD56" s="581">
        <f t="shared" si="109"/>
        <v>-50</v>
      </c>
      <c r="CE56">
        <f t="shared" si="110"/>
        <v>-50</v>
      </c>
    </row>
    <row r="57" spans="5:83" x14ac:dyDescent="0.2">
      <c r="E57" s="176">
        <v>52</v>
      </c>
      <c r="F57" s="223">
        <f t="shared" si="111"/>
        <v>5.7200000000000001E-2</v>
      </c>
      <c r="G57" s="223"/>
      <c r="H57" s="223">
        <f t="shared" si="64"/>
        <v>1.3728</v>
      </c>
      <c r="I57" s="559">
        <f t="shared" si="65"/>
        <v>12</v>
      </c>
      <c r="J57" s="178">
        <f t="shared" si="66"/>
        <v>24.25</v>
      </c>
      <c r="K57" s="454">
        <f t="shared" si="67"/>
        <v>36.25</v>
      </c>
      <c r="L57" s="454"/>
      <c r="M57" s="223">
        <f t="shared" si="68"/>
        <v>0.66896551724137931</v>
      </c>
      <c r="N57" s="178">
        <f t="shared" si="5"/>
        <v>5.528999999999999</v>
      </c>
      <c r="O57" s="178">
        <f t="shared" si="49"/>
        <v>1.3728</v>
      </c>
      <c r="P57" s="223">
        <f t="shared" si="69"/>
        <v>0.23037499999999997</v>
      </c>
      <c r="Q57" s="223">
        <f t="shared" si="70"/>
        <v>24</v>
      </c>
      <c r="R57" s="223">
        <f t="shared" si="71"/>
        <v>0.24250000000000002</v>
      </c>
      <c r="S57" s="178">
        <f t="shared" si="72"/>
        <v>132.51560320714324</v>
      </c>
      <c r="T57" s="178">
        <f t="shared" si="73"/>
        <v>24</v>
      </c>
      <c r="U57" s="223">
        <f t="shared" si="74"/>
        <v>0.36002170374389586</v>
      </c>
      <c r="V57" s="223">
        <f t="shared" si="75"/>
        <v>1.4100850063302586</v>
      </c>
      <c r="W57" s="223">
        <f t="shared" si="76"/>
        <v>0.69777402375105591</v>
      </c>
      <c r="X57" s="203">
        <f t="shared" si="77"/>
        <v>350</v>
      </c>
      <c r="Y57" s="454">
        <f t="shared" si="50"/>
        <v>350</v>
      </c>
      <c r="AA57" s="223">
        <f t="shared" si="78"/>
        <v>0.48799916151346817</v>
      </c>
      <c r="AB57" s="179">
        <f t="shared" si="79"/>
        <v>0.94581280788177335</v>
      </c>
      <c r="AC57" s="179">
        <f t="shared" si="80"/>
        <v>8.077227500912576E-2</v>
      </c>
      <c r="AD57" s="179"/>
      <c r="AE57" s="179">
        <f t="shared" si="81"/>
        <v>0.56206185567010303</v>
      </c>
      <c r="AF57" s="563">
        <f t="shared" si="112"/>
        <v>701.84936878589326</v>
      </c>
      <c r="AG57" s="546">
        <f t="shared" si="82"/>
        <v>2.8524639175257726E-2</v>
      </c>
      <c r="AI57" s="179">
        <f t="shared" si="83"/>
        <v>0.42133169443625079</v>
      </c>
      <c r="AJ57" s="179">
        <f t="shared" si="84"/>
        <v>0.42133169443625079</v>
      </c>
      <c r="AK57" s="179">
        <f t="shared" si="85"/>
        <v>1.297282736619445</v>
      </c>
      <c r="AM57" s="563">
        <f t="shared" si="86"/>
        <v>57.2</v>
      </c>
      <c r="AN57" s="472">
        <f t="shared" si="87"/>
        <v>350</v>
      </c>
      <c r="AP57">
        <f t="shared" si="88"/>
        <v>57.2</v>
      </c>
      <c r="AQ57" s="472">
        <f t="shared" si="89"/>
        <v>350</v>
      </c>
      <c r="AR57" s="472"/>
      <c r="AS57" s="6">
        <f t="shared" si="51"/>
        <v>2.8571428571428572</v>
      </c>
      <c r="AT57" s="6">
        <f t="shared" si="90"/>
        <v>1.6502158032086487</v>
      </c>
      <c r="AU57" s="6">
        <f t="shared" si="52"/>
        <v>1.2069270539342085</v>
      </c>
      <c r="AV57" s="6">
        <f t="shared" si="91"/>
        <v>0.8166016345774757</v>
      </c>
      <c r="AW57" s="179">
        <f t="shared" si="53"/>
        <v>0.57757553112302706</v>
      </c>
      <c r="AX57" s="179">
        <f t="shared" si="92"/>
        <v>1.4601052631578952</v>
      </c>
      <c r="AY57" s="179">
        <f t="shared" si="93"/>
        <v>8.8990408621634154E-2</v>
      </c>
      <c r="AZ57" s="179">
        <f t="shared" si="54"/>
        <v>16.407445316561162</v>
      </c>
      <c r="BA57" s="472">
        <f t="shared" si="94"/>
        <v>0.39330143309806131</v>
      </c>
      <c r="BB57" s="6">
        <f t="shared" si="95"/>
        <v>0.24223237714047968</v>
      </c>
      <c r="BC57" s="6"/>
      <c r="BD57" s="179">
        <f t="shared" si="55"/>
        <v>0.18487061910993077</v>
      </c>
      <c r="BE57" s="179">
        <f t="shared" si="96"/>
        <v>0.15810224466702438</v>
      </c>
      <c r="BF57" s="179"/>
      <c r="BG57" s="546">
        <f t="shared" si="97"/>
        <v>1.1962001033531185E-2</v>
      </c>
      <c r="BH57" s="546">
        <f t="shared" si="98"/>
        <v>4.0092344048699484E-2</v>
      </c>
      <c r="BI57" s="546">
        <f t="shared" si="99"/>
        <v>4.3749999999999995E-3</v>
      </c>
      <c r="BJ57" s="546">
        <f t="shared" si="100"/>
        <v>2.2996093750000002E-2</v>
      </c>
      <c r="BK57">
        <f t="shared" si="101"/>
        <v>3.48E-3</v>
      </c>
      <c r="BL57" s="546">
        <f t="shared" si="102"/>
        <v>8.3250498274559048E-2</v>
      </c>
      <c r="BM57" s="472">
        <f t="shared" si="56"/>
        <v>83.25049827455905</v>
      </c>
      <c r="BN57" s="546">
        <f t="shared" si="103"/>
        <v>1.7159999999999998E-2</v>
      </c>
      <c r="BO57" s="546"/>
      <c r="BQ57" s="472">
        <f t="shared" si="57"/>
        <v>17.159999999999997</v>
      </c>
      <c r="BR57" s="546">
        <f t="shared" si="104"/>
        <v>6.8354291620178198E-3</v>
      </c>
      <c r="BS57" s="546">
        <f t="shared" si="105"/>
        <v>4.999263953750329E-3</v>
      </c>
      <c r="BT57" s="546">
        <f t="shared" si="106"/>
        <v>1.3203845683583031E-2</v>
      </c>
      <c r="BU57" s="546">
        <f t="shared" si="107"/>
        <v>2.5062267138580823E-2</v>
      </c>
      <c r="BV57" s="546">
        <f t="shared" si="108"/>
        <v>1.1494445688689812E-2</v>
      </c>
      <c r="BW57" s="472">
        <f t="shared" si="58"/>
        <v>36.55671282727063</v>
      </c>
      <c r="BX57" s="179">
        <f t="shared" si="59"/>
        <v>0.13696721110182969</v>
      </c>
      <c r="BY57" s="6">
        <f t="shared" si="60"/>
        <v>1.3728</v>
      </c>
      <c r="BZ57" s="179">
        <f t="shared" si="61"/>
        <v>0.90927925173188073</v>
      </c>
      <c r="CA57" s="6">
        <f t="shared" si="62"/>
        <v>90.927925173188072</v>
      </c>
      <c r="CD57" s="581">
        <f t="shared" si="109"/>
        <v>-50</v>
      </c>
      <c r="CE57">
        <f t="shared" si="110"/>
        <v>-50</v>
      </c>
    </row>
    <row r="58" spans="5:83" x14ac:dyDescent="0.2">
      <c r="E58" s="176">
        <v>53</v>
      </c>
      <c r="F58" s="223">
        <f t="shared" si="111"/>
        <v>5.8300000000000005E-2</v>
      </c>
      <c r="G58" s="223"/>
      <c r="H58" s="223">
        <f t="shared" si="64"/>
        <v>1.3992</v>
      </c>
      <c r="I58" s="559">
        <f t="shared" si="65"/>
        <v>12</v>
      </c>
      <c r="J58" s="178">
        <f t="shared" si="66"/>
        <v>24.25</v>
      </c>
      <c r="K58" s="454">
        <f t="shared" si="67"/>
        <v>36.25</v>
      </c>
      <c r="L58" s="454"/>
      <c r="M58" s="223">
        <f t="shared" si="68"/>
        <v>0.66896551724137931</v>
      </c>
      <c r="N58" s="178">
        <f t="shared" si="5"/>
        <v>5.528999999999999</v>
      </c>
      <c r="O58" s="178">
        <f t="shared" si="49"/>
        <v>1.3992</v>
      </c>
      <c r="P58" s="223">
        <f t="shared" si="69"/>
        <v>0.23037499999999997</v>
      </c>
      <c r="Q58" s="223">
        <f t="shared" si="70"/>
        <v>24</v>
      </c>
      <c r="R58" s="223">
        <f t="shared" si="71"/>
        <v>0.24250000000000002</v>
      </c>
      <c r="S58" s="178">
        <f t="shared" si="72"/>
        <v>129.78979370346309</v>
      </c>
      <c r="T58" s="178">
        <f t="shared" si="73"/>
        <v>24</v>
      </c>
      <c r="U58" s="223">
        <f t="shared" si="74"/>
        <v>0.36694519804666309</v>
      </c>
      <c r="V58" s="223">
        <f t="shared" si="75"/>
        <v>1.4372020256827638</v>
      </c>
      <c r="W58" s="223">
        <f t="shared" si="76"/>
        <v>0.71119275497703771</v>
      </c>
      <c r="X58" s="203">
        <f t="shared" si="77"/>
        <v>350</v>
      </c>
      <c r="Y58" s="454">
        <f t="shared" si="50"/>
        <v>350</v>
      </c>
      <c r="AA58" s="223">
        <f t="shared" si="78"/>
        <v>0.48799916151346817</v>
      </c>
      <c r="AB58" s="179">
        <f t="shared" si="79"/>
        <v>0.94581280788177335</v>
      </c>
      <c r="AC58" s="179">
        <f t="shared" si="80"/>
        <v>8.077227500912576E-2</v>
      </c>
      <c r="AD58" s="179"/>
      <c r="AE58" s="179">
        <f t="shared" si="81"/>
        <v>0.56206185567010303</v>
      </c>
      <c r="AF58" s="563">
        <f t="shared" si="112"/>
        <v>715.34647203177599</v>
      </c>
      <c r="AG58" s="546">
        <f t="shared" si="82"/>
        <v>2.8524639175257726E-2</v>
      </c>
      <c r="AI58" s="179">
        <f t="shared" si="83"/>
        <v>0.42536366854718194</v>
      </c>
      <c r="AJ58" s="179">
        <f t="shared" si="84"/>
        <v>0.42536366854718194</v>
      </c>
      <c r="AK58" s="179">
        <f t="shared" si="85"/>
        <v>1.3002693841090236</v>
      </c>
      <c r="AM58" s="563">
        <f t="shared" si="86"/>
        <v>58.300000000000004</v>
      </c>
      <c r="AN58" s="472">
        <f t="shared" si="87"/>
        <v>350</v>
      </c>
      <c r="AP58">
        <f t="shared" si="88"/>
        <v>58.300000000000004</v>
      </c>
      <c r="AQ58" s="472">
        <f t="shared" si="89"/>
        <v>350</v>
      </c>
      <c r="AR58" s="472"/>
      <c r="AS58" s="6">
        <f t="shared" si="51"/>
        <v>2.8571428571428572</v>
      </c>
      <c r="AT58" s="6">
        <f t="shared" si="90"/>
        <v>1.6660077018097961</v>
      </c>
      <c r="AU58" s="6">
        <f t="shared" si="52"/>
        <v>1.1911351553330611</v>
      </c>
      <c r="AV58" s="6">
        <f t="shared" si="91"/>
        <v>0.82441618233886804</v>
      </c>
      <c r="AW58" s="179">
        <f t="shared" si="53"/>
        <v>0.58310269563342865</v>
      </c>
      <c r="AX58" s="179">
        <f t="shared" si="92"/>
        <v>1.4881842105263159</v>
      </c>
      <c r="AY58" s="179">
        <f t="shared" si="93"/>
        <v>8.8666483396397947E-2</v>
      </c>
      <c r="AZ58" s="179">
        <f t="shared" si="54"/>
        <v>16.784067141505389</v>
      </c>
      <c r="BA58" s="472">
        <f t="shared" si="94"/>
        <v>0.40470103756462966</v>
      </c>
      <c r="BB58" s="6">
        <f t="shared" si="95"/>
        <v>0.24366027914357002</v>
      </c>
      <c r="BC58" s="6"/>
      <c r="BD58" s="179">
        <f t="shared" si="55"/>
        <v>0.18753066345763086</v>
      </c>
      <c r="BE58" s="179">
        <f t="shared" si="96"/>
        <v>0.15856754744623214</v>
      </c>
      <c r="BF58" s="179"/>
      <c r="BG58" s="546">
        <f t="shared" si="97"/>
        <v>1.2308712407900723E-2</v>
      </c>
      <c r="BH58" s="546">
        <f t="shared" si="98"/>
        <v>4.0476011585192782E-2</v>
      </c>
      <c r="BI58" s="546">
        <f t="shared" si="99"/>
        <v>4.3749999999999995E-3</v>
      </c>
      <c r="BJ58" s="546">
        <f t="shared" si="100"/>
        <v>2.2996093750000002E-2</v>
      </c>
      <c r="BK58">
        <f t="shared" si="101"/>
        <v>3.48E-3</v>
      </c>
      <c r="BL58" s="546">
        <f t="shared" si="102"/>
        <v>8.3994049748801855E-2</v>
      </c>
      <c r="BM58" s="472">
        <f t="shared" si="56"/>
        <v>83.994049748801856</v>
      </c>
      <c r="BN58" s="546">
        <f t="shared" si="103"/>
        <v>1.7490000000000002E-2</v>
      </c>
      <c r="BO58" s="546"/>
      <c r="BQ58" s="472">
        <f t="shared" si="57"/>
        <v>17.490000000000002</v>
      </c>
      <c r="BR58" s="546">
        <f t="shared" si="104"/>
        <v>7.0335499473718425E-3</v>
      </c>
      <c r="BS58" s="546">
        <f t="shared" si="105"/>
        <v>5.0287334206226162E-3</v>
      </c>
      <c r="BT58" s="546">
        <f t="shared" si="106"/>
        <v>1.352200516366645E-2</v>
      </c>
      <c r="BU58" s="546">
        <f t="shared" si="107"/>
        <v>2.5609000773589085E-2</v>
      </c>
      <c r="BV58" s="546">
        <f t="shared" si="108"/>
        <v>1.1715492721164617E-2</v>
      </c>
      <c r="BW58" s="472">
        <f t="shared" si="58"/>
        <v>37.324493494753703</v>
      </c>
      <c r="BX58" s="179">
        <f t="shared" si="59"/>
        <v>0.13880854324355557</v>
      </c>
      <c r="BY58" s="6">
        <f t="shared" si="60"/>
        <v>1.3992</v>
      </c>
      <c r="BZ58" s="179">
        <f t="shared" si="61"/>
        <v>0.90974787243325861</v>
      </c>
      <c r="CA58" s="6">
        <f t="shared" si="62"/>
        <v>90.974787243325864</v>
      </c>
      <c r="CD58" s="581">
        <f t="shared" si="109"/>
        <v>-50</v>
      </c>
      <c r="CE58">
        <f t="shared" si="110"/>
        <v>-50</v>
      </c>
    </row>
    <row r="59" spans="5:83" x14ac:dyDescent="0.2">
      <c r="E59" s="176">
        <v>54</v>
      </c>
      <c r="F59" s="223">
        <f t="shared" si="111"/>
        <v>5.9400000000000001E-2</v>
      </c>
      <c r="G59" s="223"/>
      <c r="H59" s="223">
        <f t="shared" si="64"/>
        <v>1.4256</v>
      </c>
      <c r="I59" s="559">
        <f t="shared" si="65"/>
        <v>12</v>
      </c>
      <c r="J59" s="178">
        <f t="shared" si="66"/>
        <v>24.25</v>
      </c>
      <c r="K59" s="454">
        <f t="shared" si="67"/>
        <v>36.25</v>
      </c>
      <c r="L59" s="454"/>
      <c r="M59" s="223">
        <f t="shared" si="68"/>
        <v>0.66896551724137931</v>
      </c>
      <c r="N59" s="178">
        <f t="shared" si="5"/>
        <v>5.528999999999999</v>
      </c>
      <c r="O59" s="178">
        <f t="shared" si="49"/>
        <v>1.4256</v>
      </c>
      <c r="P59" s="223">
        <f t="shared" si="69"/>
        <v>0.23037499999999997</v>
      </c>
      <c r="Q59" s="223">
        <f t="shared" si="70"/>
        <v>24</v>
      </c>
      <c r="R59" s="223">
        <f t="shared" si="71"/>
        <v>0.24250000000000002</v>
      </c>
      <c r="S59" s="178">
        <f t="shared" si="72"/>
        <v>127.16495925744667</v>
      </c>
      <c r="T59" s="178">
        <f t="shared" si="73"/>
        <v>24</v>
      </c>
      <c r="U59" s="223">
        <f t="shared" si="74"/>
        <v>0.37386869234943032</v>
      </c>
      <c r="V59" s="223">
        <f t="shared" si="75"/>
        <v>1.4643190450352686</v>
      </c>
      <c r="W59" s="223">
        <f t="shared" si="76"/>
        <v>0.72461148620301952</v>
      </c>
      <c r="X59" s="203">
        <f t="shared" si="77"/>
        <v>350</v>
      </c>
      <c r="Y59" s="454">
        <f t="shared" si="50"/>
        <v>350</v>
      </c>
      <c r="AA59" s="223">
        <f t="shared" si="78"/>
        <v>0.48799916151346817</v>
      </c>
      <c r="AB59" s="179">
        <f t="shared" si="79"/>
        <v>0.94581280788177335</v>
      </c>
      <c r="AC59" s="179">
        <f t="shared" si="80"/>
        <v>8.077227500912576E-2</v>
      </c>
      <c r="AD59" s="179"/>
      <c r="AE59" s="179">
        <f t="shared" si="81"/>
        <v>0.56206185567010303</v>
      </c>
      <c r="AF59" s="563">
        <f t="shared" si="112"/>
        <v>728.84357527765849</v>
      </c>
      <c r="AG59" s="546">
        <f t="shared" si="82"/>
        <v>2.8524639175257726E-2</v>
      </c>
      <c r="AI59" s="179">
        <f t="shared" si="83"/>
        <v>0.4293577812306556</v>
      </c>
      <c r="AJ59" s="179">
        <f t="shared" si="84"/>
        <v>0.4293577812306556</v>
      </c>
      <c r="AK59" s="179">
        <f t="shared" si="85"/>
        <v>1.3032279860967819</v>
      </c>
      <c r="AM59" s="563">
        <f t="shared" si="86"/>
        <v>59.4</v>
      </c>
      <c r="AN59" s="472">
        <f t="shared" si="87"/>
        <v>350</v>
      </c>
      <c r="AP59">
        <f t="shared" si="88"/>
        <v>59.4</v>
      </c>
      <c r="AQ59" s="472">
        <f t="shared" si="89"/>
        <v>350</v>
      </c>
      <c r="AR59" s="472"/>
      <c r="AS59" s="6">
        <f t="shared" si="51"/>
        <v>2.8571428571428572</v>
      </c>
      <c r="AT59" s="6">
        <f t="shared" si="90"/>
        <v>1.6816513098200676</v>
      </c>
      <c r="AU59" s="6">
        <f t="shared" si="52"/>
        <v>1.1754915473227896</v>
      </c>
      <c r="AV59" s="6">
        <f t="shared" si="91"/>
        <v>0.83215734918931195</v>
      </c>
      <c r="AW59" s="179">
        <f t="shared" si="53"/>
        <v>0.58857795843702365</v>
      </c>
      <c r="AX59" s="179">
        <f t="shared" si="92"/>
        <v>1.5162631578947374</v>
      </c>
      <c r="AY59" s="179">
        <f t="shared" si="93"/>
        <v>8.8323627457433052E-2</v>
      </c>
      <c r="AZ59" s="179">
        <f t="shared" si="54"/>
        <v>17.167129584045785</v>
      </c>
      <c r="BA59" s="472">
        <f t="shared" si="94"/>
        <v>0.41620869918046671</v>
      </c>
      <c r="BB59" s="6">
        <f t="shared" si="95"/>
        <v>0.24499718565253931</v>
      </c>
      <c r="BC59" s="6"/>
      <c r="BD59" s="179">
        <f t="shared" si="55"/>
        <v>0.19017818913900947</v>
      </c>
      <c r="BE59" s="179">
        <f t="shared" si="96"/>
        <v>0.15900196375174419</v>
      </c>
      <c r="BF59" s="179"/>
      <c r="BG59" s="546">
        <f t="shared" si="97"/>
        <v>1.26587102684675E-2</v>
      </c>
      <c r="BH59" s="546">
        <f t="shared" si="98"/>
        <v>4.0856076370229567E-2</v>
      </c>
      <c r="BI59" s="546">
        <f t="shared" si="99"/>
        <v>4.3749999999999995E-3</v>
      </c>
      <c r="BJ59" s="546">
        <f t="shared" si="100"/>
        <v>2.2996093750000002E-2</v>
      </c>
      <c r="BK59">
        <f t="shared" si="101"/>
        <v>3.48E-3</v>
      </c>
      <c r="BL59" s="546">
        <f t="shared" si="102"/>
        <v>8.4737559926917269E-2</v>
      </c>
      <c r="BM59" s="472">
        <f t="shared" si="56"/>
        <v>84.737559926917271</v>
      </c>
      <c r="BN59" s="546">
        <f t="shared" si="103"/>
        <v>1.7819999999999999E-2</v>
      </c>
      <c r="BO59" s="546"/>
      <c r="BQ59" s="472">
        <f t="shared" si="57"/>
        <v>17.82</v>
      </c>
      <c r="BR59" s="546">
        <f t="shared" si="104"/>
        <v>7.2335487248385722E-3</v>
      </c>
      <c r="BS59" s="546">
        <f t="shared" si="105"/>
        <v>5.0563248953821955E-3</v>
      </c>
      <c r="BT59" s="546">
        <f t="shared" si="106"/>
        <v>1.3841669019388337E-2</v>
      </c>
      <c r="BU59" s="546">
        <f t="shared" si="107"/>
        <v>2.6157260193371324E-2</v>
      </c>
      <c r="BV59" s="546">
        <f t="shared" si="108"/>
        <v>1.1936539753639421E-2</v>
      </c>
      <c r="BW59" s="472">
        <f t="shared" si="58"/>
        <v>38.093799947010744</v>
      </c>
      <c r="BX59" s="179">
        <f t="shared" si="59"/>
        <v>0.14065135987392802</v>
      </c>
      <c r="BY59" s="6">
        <f t="shared" si="60"/>
        <v>1.4256</v>
      </c>
      <c r="BZ59" s="179">
        <f t="shared" si="61"/>
        <v>0.91019873088234737</v>
      </c>
      <c r="CA59" s="6">
        <f t="shared" si="62"/>
        <v>91.019873088234732</v>
      </c>
      <c r="CD59" s="581">
        <f t="shared" si="109"/>
        <v>-50</v>
      </c>
      <c r="CE59">
        <f t="shared" si="110"/>
        <v>-50</v>
      </c>
    </row>
    <row r="60" spans="5:83" x14ac:dyDescent="0.2">
      <c r="E60" s="176">
        <v>55</v>
      </c>
      <c r="F60" s="223">
        <f t="shared" si="111"/>
        <v>6.0500000000000005E-2</v>
      </c>
      <c r="G60" s="223"/>
      <c r="H60" s="223">
        <f t="shared" si="64"/>
        <v>1.4520000000000002</v>
      </c>
      <c r="I60" s="559">
        <f t="shared" si="65"/>
        <v>12</v>
      </c>
      <c r="J60" s="178">
        <f t="shared" si="66"/>
        <v>24.25</v>
      </c>
      <c r="K60" s="454">
        <f t="shared" si="67"/>
        <v>36.25</v>
      </c>
      <c r="L60" s="454"/>
      <c r="M60" s="223">
        <f t="shared" si="68"/>
        <v>0.66896551724137931</v>
      </c>
      <c r="N60" s="178">
        <f t="shared" si="5"/>
        <v>5.528999999999999</v>
      </c>
      <c r="O60" s="178">
        <f t="shared" si="49"/>
        <v>1.4520000000000002</v>
      </c>
      <c r="P60" s="223">
        <f t="shared" si="69"/>
        <v>0.23037499999999997</v>
      </c>
      <c r="Q60" s="223">
        <f t="shared" si="70"/>
        <v>24</v>
      </c>
      <c r="R60" s="223">
        <f t="shared" si="71"/>
        <v>0.24250000000000002</v>
      </c>
      <c r="S60" s="178">
        <f t="shared" si="72"/>
        <v>124.6355922343482</v>
      </c>
      <c r="T60" s="178">
        <f t="shared" si="73"/>
        <v>24</v>
      </c>
      <c r="U60" s="223">
        <f t="shared" si="74"/>
        <v>0.38079218665219761</v>
      </c>
      <c r="V60" s="223">
        <f t="shared" si="75"/>
        <v>1.4914360643877738</v>
      </c>
      <c r="W60" s="223">
        <f t="shared" si="76"/>
        <v>0.73803021742900154</v>
      </c>
      <c r="X60" s="203">
        <f t="shared" si="77"/>
        <v>350</v>
      </c>
      <c r="Y60" s="454">
        <f t="shared" si="50"/>
        <v>350</v>
      </c>
      <c r="AA60" s="223">
        <f t="shared" si="78"/>
        <v>0.48799916151346817</v>
      </c>
      <c r="AB60" s="179">
        <f t="shared" si="79"/>
        <v>0.94581280788177335</v>
      </c>
      <c r="AC60" s="179">
        <f t="shared" si="80"/>
        <v>8.077227500912576E-2</v>
      </c>
      <c r="AD60" s="179"/>
      <c r="AE60" s="179">
        <f t="shared" si="81"/>
        <v>0.56206185567010303</v>
      </c>
      <c r="AF60" s="563">
        <f t="shared" si="112"/>
        <v>742.3406785235411</v>
      </c>
      <c r="AG60" s="546">
        <f t="shared" si="82"/>
        <v>2.8524639175257726E-2</v>
      </c>
      <c r="AI60" s="179">
        <f t="shared" si="83"/>
        <v>0.43331507945916925</v>
      </c>
      <c r="AJ60" s="179">
        <f t="shared" si="84"/>
        <v>0.43331507945916925</v>
      </c>
      <c r="AK60" s="179">
        <f t="shared" si="85"/>
        <v>1.3061593181179032</v>
      </c>
      <c r="AM60" s="563">
        <f t="shared" si="86"/>
        <v>60.500000000000007</v>
      </c>
      <c r="AN60" s="472">
        <f t="shared" si="87"/>
        <v>350</v>
      </c>
      <c r="AP60">
        <f t="shared" si="88"/>
        <v>60.500000000000007</v>
      </c>
      <c r="AQ60">
        <f t="shared" si="89"/>
        <v>350</v>
      </c>
      <c r="AS60" s="6">
        <f t="shared" si="51"/>
        <v>2.8571428571428572</v>
      </c>
      <c r="AT60" s="6">
        <f t="shared" si="90"/>
        <v>1.6971507278817461</v>
      </c>
      <c r="AU60" s="6">
        <f t="shared" si="52"/>
        <v>1.1599921292611111</v>
      </c>
      <c r="AV60" s="6">
        <f t="shared" si="91"/>
        <v>0.83982716431261661</v>
      </c>
      <c r="AW60" s="179">
        <f t="shared" si="53"/>
        <v>0.59400275475861108</v>
      </c>
      <c r="AX60" s="179">
        <f t="shared" si="92"/>
        <v>1.5443421052631581</v>
      </c>
      <c r="AY60" s="179">
        <f t="shared" si="93"/>
        <v>8.7962364290988138E-2</v>
      </c>
      <c r="AZ60" s="179">
        <f t="shared" si="54"/>
        <v>17.556850793076944</v>
      </c>
      <c r="BA60" s="472">
        <f t="shared" si="94"/>
        <v>0.42782341265352353</v>
      </c>
      <c r="BB60" s="6">
        <f t="shared" si="95"/>
        <v>0.24624394322911303</v>
      </c>
      <c r="BC60" s="6"/>
      <c r="BD60" s="179">
        <f t="shared" si="55"/>
        <v>0.19281348530153378</v>
      </c>
      <c r="BE60" s="179">
        <f t="shared" si="96"/>
        <v>0.15940602011251209</v>
      </c>
      <c r="BF60" s="179"/>
      <c r="BG60" s="546">
        <f t="shared" si="97"/>
        <v>1.3011964039943672E-2</v>
      </c>
      <c r="BH60" s="546">
        <f t="shared" si="98"/>
        <v>4.1232638029786578E-2</v>
      </c>
      <c r="BI60" s="546">
        <f t="shared" si="99"/>
        <v>4.3749999999999995E-3</v>
      </c>
      <c r="BJ60" s="546">
        <f t="shared" si="100"/>
        <v>2.2996093750000002E-2</v>
      </c>
      <c r="BK60">
        <f t="shared" si="101"/>
        <v>3.48E-3</v>
      </c>
      <c r="BL60" s="546">
        <f t="shared" si="102"/>
        <v>8.5481099799080015E-2</v>
      </c>
      <c r="BM60" s="472">
        <f t="shared" si="56"/>
        <v>85.481099799080013</v>
      </c>
      <c r="BN60" s="546">
        <f t="shared" si="103"/>
        <v>1.8149999999999999E-2</v>
      </c>
      <c r="BO60" s="546"/>
      <c r="BQ60" s="472">
        <f t="shared" si="57"/>
        <v>18.149999999999999</v>
      </c>
      <c r="BR60" s="546">
        <f t="shared" si="104"/>
        <v>7.4354080228249565E-3</v>
      </c>
      <c r="BS60" s="546">
        <f t="shared" si="105"/>
        <v>5.082055849622122E-3</v>
      </c>
      <c r="BT60" s="546">
        <f t="shared" si="106"/>
        <v>1.4162816305779575E-2</v>
      </c>
      <c r="BU60" s="546">
        <f t="shared" si="107"/>
        <v>2.670702451538761E-2</v>
      </c>
      <c r="BV60" s="546">
        <f t="shared" si="108"/>
        <v>1.2157586786114224E-2</v>
      </c>
      <c r="BW60" s="472">
        <f t="shared" si="58"/>
        <v>38.864611301501832</v>
      </c>
      <c r="BX60" s="179">
        <f t="shared" si="59"/>
        <v>0.14249571110058185</v>
      </c>
      <c r="BY60" s="6">
        <f t="shared" si="60"/>
        <v>1.4520000000000002</v>
      </c>
      <c r="BZ60" s="179">
        <f t="shared" si="61"/>
        <v>0.91063274105502245</v>
      </c>
      <c r="CA60" s="6">
        <f t="shared" si="62"/>
        <v>91.063274105502245</v>
      </c>
      <c r="CD60" s="581">
        <f t="shared" si="109"/>
        <v>-50</v>
      </c>
      <c r="CE60">
        <f t="shared" si="110"/>
        <v>-50</v>
      </c>
    </row>
    <row r="61" spans="5:83" x14ac:dyDescent="0.2">
      <c r="E61" s="176">
        <v>56</v>
      </c>
      <c r="F61" s="223">
        <f t="shared" si="111"/>
        <v>6.1600000000000009E-2</v>
      </c>
      <c r="G61" s="223"/>
      <c r="H61" s="223">
        <f t="shared" si="64"/>
        <v>1.4784000000000002</v>
      </c>
      <c r="I61" s="559">
        <f t="shared" si="65"/>
        <v>12</v>
      </c>
      <c r="J61" s="178">
        <f t="shared" si="66"/>
        <v>24.25</v>
      </c>
      <c r="K61" s="454">
        <f t="shared" si="67"/>
        <v>36.25</v>
      </c>
      <c r="L61" s="454"/>
      <c r="M61" s="223">
        <f t="shared" si="68"/>
        <v>0.66896551724137931</v>
      </c>
      <c r="N61" s="178">
        <f t="shared" si="5"/>
        <v>5.528999999999999</v>
      </c>
      <c r="O61" s="178">
        <f t="shared" si="49"/>
        <v>1.4784000000000002</v>
      </c>
      <c r="P61" s="223">
        <f t="shared" si="69"/>
        <v>0.23037499999999997</v>
      </c>
      <c r="Q61" s="223">
        <f t="shared" si="70"/>
        <v>24</v>
      </c>
      <c r="R61" s="223">
        <f t="shared" si="71"/>
        <v>0.24250000000000002</v>
      </c>
      <c r="S61" s="178">
        <f t="shared" si="72"/>
        <v>122.19657840252526</v>
      </c>
      <c r="T61" s="178">
        <f t="shared" si="73"/>
        <v>24</v>
      </c>
      <c r="U61" s="223">
        <f t="shared" si="74"/>
        <v>0.38771568095496484</v>
      </c>
      <c r="V61" s="223">
        <f t="shared" si="75"/>
        <v>1.518553083740279</v>
      </c>
      <c r="W61" s="223">
        <f t="shared" si="76"/>
        <v>0.75144894865498335</v>
      </c>
      <c r="X61" s="203">
        <f t="shared" si="77"/>
        <v>350</v>
      </c>
      <c r="Y61" s="454">
        <f t="shared" si="50"/>
        <v>350</v>
      </c>
      <c r="AA61" s="223">
        <f t="shared" si="78"/>
        <v>0.48799916151346817</v>
      </c>
      <c r="AB61" s="179">
        <f t="shared" si="79"/>
        <v>0.94581280788177335</v>
      </c>
      <c r="AC61" s="179">
        <f t="shared" si="80"/>
        <v>8.077227500912576E-2</v>
      </c>
      <c r="AD61" s="179"/>
      <c r="AE61" s="179">
        <f t="shared" si="81"/>
        <v>0.56206185567010303</v>
      </c>
      <c r="AF61" s="563">
        <f t="shared" si="112"/>
        <v>755.83778176942371</v>
      </c>
      <c r="AG61" s="546">
        <f t="shared" si="82"/>
        <v>2.8524639175257726E-2</v>
      </c>
      <c r="AI61" s="179">
        <f t="shared" si="83"/>
        <v>0.43723656282394874</v>
      </c>
      <c r="AJ61" s="179">
        <f t="shared" si="84"/>
        <v>0.43723656282394874</v>
      </c>
      <c r="AK61" s="179">
        <f t="shared" si="85"/>
        <v>1.3090641206103324</v>
      </c>
      <c r="AM61" s="563">
        <f t="shared" si="86"/>
        <v>61.600000000000009</v>
      </c>
      <c r="AN61" s="472">
        <f t="shared" si="87"/>
        <v>350</v>
      </c>
      <c r="AP61">
        <f t="shared" si="88"/>
        <v>61.600000000000009</v>
      </c>
      <c r="AQ61">
        <f t="shared" si="89"/>
        <v>350</v>
      </c>
      <c r="AS61" s="6">
        <f t="shared" si="51"/>
        <v>2.8571428571428572</v>
      </c>
      <c r="AT61" s="6">
        <f t="shared" si="90"/>
        <v>1.7125098710604656</v>
      </c>
      <c r="AU61" s="6">
        <f t="shared" si="52"/>
        <v>1.1446329860823916</v>
      </c>
      <c r="AV61" s="6">
        <f t="shared" si="91"/>
        <v>0.84742756506084904</v>
      </c>
      <c r="AW61" s="179">
        <f t="shared" si="53"/>
        <v>0.59937845487116292</v>
      </c>
      <c r="AX61" s="179">
        <f t="shared" si="92"/>
        <v>1.5724210526315796</v>
      </c>
      <c r="AY61" s="179">
        <f t="shared" si="93"/>
        <v>8.7583193692676087E-2</v>
      </c>
      <c r="AZ61" s="179">
        <f t="shared" si="54"/>
        <v>17.95345643764837</v>
      </c>
      <c r="BA61" s="472">
        <f t="shared" si="94"/>
        <v>0.43954420023885293</v>
      </c>
      <c r="BB61" s="6">
        <f t="shared" si="95"/>
        <v>0.24740137523745728</v>
      </c>
      <c r="BC61" s="6"/>
      <c r="BD61" s="179">
        <f t="shared" si="55"/>
        <v>0.19543682928885334</v>
      </c>
      <c r="BE61" s="179">
        <f t="shared" si="96"/>
        <v>0.15978021273263646</v>
      </c>
      <c r="BF61" s="179"/>
      <c r="BG61" s="546">
        <f t="shared" si="97"/>
        <v>1.3368443984868141E-2</v>
      </c>
      <c r="BH61" s="546">
        <f t="shared" si="98"/>
        <v>4.1605791681216364E-2</v>
      </c>
      <c r="BI61" s="546">
        <f t="shared" si="99"/>
        <v>4.3749999999999995E-3</v>
      </c>
      <c r="BJ61" s="546">
        <f t="shared" si="100"/>
        <v>2.2996093750000002E-2</v>
      </c>
      <c r="BK61">
        <f t="shared" si="101"/>
        <v>3.48E-3</v>
      </c>
      <c r="BL61" s="546">
        <f t="shared" si="102"/>
        <v>8.6224736696036114E-2</v>
      </c>
      <c r="BM61" s="472">
        <f t="shared" si="56"/>
        <v>86.224736696036118</v>
      </c>
      <c r="BN61" s="546">
        <f t="shared" si="103"/>
        <v>1.8480000000000003E-2</v>
      </c>
      <c r="BO61" s="546"/>
      <c r="BQ61" s="472">
        <f t="shared" si="57"/>
        <v>18.480000000000004</v>
      </c>
      <c r="BR61" s="546">
        <f t="shared" si="104"/>
        <v>7.6391108484960809E-3</v>
      </c>
      <c r="BS61" s="546">
        <f t="shared" si="105"/>
        <v>5.1059432761773127E-3</v>
      </c>
      <c r="BT61" s="546">
        <f t="shared" si="106"/>
        <v>1.4485426745936244E-2</v>
      </c>
      <c r="BU61" s="546">
        <f t="shared" si="107"/>
        <v>2.7258273524322647E-2</v>
      </c>
      <c r="BV61" s="546">
        <f t="shared" si="108"/>
        <v>1.2378633818589033E-2</v>
      </c>
      <c r="BW61" s="472">
        <f t="shared" si="58"/>
        <v>39.636907342911684</v>
      </c>
      <c r="BX61" s="179">
        <f t="shared" si="59"/>
        <v>0.14434164403894778</v>
      </c>
      <c r="BY61" s="6">
        <f t="shared" si="60"/>
        <v>1.4784000000000002</v>
      </c>
      <c r="BZ61" s="179">
        <f t="shared" si="61"/>
        <v>0.91105075501748611</v>
      </c>
      <c r="CA61" s="6">
        <f t="shared" si="62"/>
        <v>91.105075501748615</v>
      </c>
      <c r="CD61" s="581">
        <f t="shared" si="109"/>
        <v>-50</v>
      </c>
      <c r="CE61">
        <f t="shared" si="110"/>
        <v>-50</v>
      </c>
    </row>
    <row r="62" spans="5:83" x14ac:dyDescent="0.2">
      <c r="E62" s="176">
        <v>57</v>
      </c>
      <c r="F62" s="223">
        <f t="shared" si="111"/>
        <v>6.2699999999999992E-2</v>
      </c>
      <c r="G62" s="223"/>
      <c r="H62" s="223">
        <f t="shared" si="64"/>
        <v>1.5047999999999999</v>
      </c>
      <c r="I62" s="559">
        <f t="shared" si="65"/>
        <v>12</v>
      </c>
      <c r="J62" s="178">
        <f t="shared" si="66"/>
        <v>24.25</v>
      </c>
      <c r="K62" s="454">
        <f t="shared" si="67"/>
        <v>36.25</v>
      </c>
      <c r="L62" s="454"/>
      <c r="M62" s="223">
        <f t="shared" si="68"/>
        <v>0.66896551724137931</v>
      </c>
      <c r="N62" s="178">
        <f t="shared" si="5"/>
        <v>5.528999999999999</v>
      </c>
      <c r="O62" s="178">
        <f t="shared" si="49"/>
        <v>1.5047999999999999</v>
      </c>
      <c r="P62" s="223">
        <f t="shared" si="69"/>
        <v>0.23037499999999997</v>
      </c>
      <c r="Q62" s="223">
        <f t="shared" si="70"/>
        <v>24</v>
      </c>
      <c r="R62" s="223">
        <f t="shared" si="71"/>
        <v>0.24250000000000002</v>
      </c>
      <c r="S62" s="178">
        <f t="shared" si="72"/>
        <v>119.84316242439985</v>
      </c>
      <c r="T62" s="178">
        <f t="shared" si="73"/>
        <v>24</v>
      </c>
      <c r="U62" s="223">
        <f t="shared" si="74"/>
        <v>0.39463917525773196</v>
      </c>
      <c r="V62" s="223">
        <f t="shared" si="75"/>
        <v>1.5456701030927833</v>
      </c>
      <c r="W62" s="223">
        <f t="shared" si="76"/>
        <v>0.76486767988096493</v>
      </c>
      <c r="X62" s="203">
        <f t="shared" si="77"/>
        <v>350</v>
      </c>
      <c r="Y62" s="454">
        <f t="shared" si="50"/>
        <v>350</v>
      </c>
      <c r="AA62" s="223">
        <f t="shared" si="78"/>
        <v>0.48799916151346817</v>
      </c>
      <c r="AB62" s="179">
        <f t="shared" si="79"/>
        <v>0.94581280788177335</v>
      </c>
      <c r="AC62" s="179">
        <f t="shared" si="80"/>
        <v>8.077227500912576E-2</v>
      </c>
      <c r="AD62" s="179"/>
      <c r="AE62" s="179">
        <f t="shared" si="81"/>
        <v>0.56206185567010303</v>
      </c>
      <c r="AF62" s="563">
        <f t="shared" si="112"/>
        <v>769.3348850153061</v>
      </c>
      <c r="AG62" s="546">
        <f t="shared" si="82"/>
        <v>2.8524639175257726E-2</v>
      </c>
      <c r="AI62" s="179">
        <f t="shared" si="83"/>
        <v>0.44112318648365723</v>
      </c>
      <c r="AJ62" s="179">
        <f t="shared" si="84"/>
        <v>0.44112318648365723</v>
      </c>
      <c r="AK62" s="179">
        <f t="shared" si="85"/>
        <v>1.3119431010990052</v>
      </c>
      <c r="AM62" s="563">
        <f t="shared" si="86"/>
        <v>62.699999999999989</v>
      </c>
      <c r="AN62" s="472">
        <f t="shared" si="87"/>
        <v>350</v>
      </c>
      <c r="AP62">
        <f t="shared" si="88"/>
        <v>62.699999999999989</v>
      </c>
      <c r="AQ62">
        <f t="shared" si="89"/>
        <v>350</v>
      </c>
      <c r="AS62" s="6">
        <f t="shared" si="51"/>
        <v>2.8571428571428572</v>
      </c>
      <c r="AT62" s="6">
        <f t="shared" si="90"/>
        <v>1.7277324803943239</v>
      </c>
      <c r="AU62" s="6">
        <f t="shared" si="52"/>
        <v>1.1294103767485333</v>
      </c>
      <c r="AV62" s="6">
        <f t="shared" si="91"/>
        <v>0.85496040266935625</v>
      </c>
      <c r="AW62" s="179">
        <f t="shared" si="53"/>
        <v>0.60470636813801337</v>
      </c>
      <c r="AX62" s="179">
        <f t="shared" si="92"/>
        <v>1.6004999999999998</v>
      </c>
      <c r="AY62" s="179">
        <f t="shared" si="93"/>
        <v>8.7186593241828633E-2</v>
      </c>
      <c r="AZ62" s="179">
        <f t="shared" si="54"/>
        <v>18.357180163705994</v>
      </c>
      <c r="BA62" s="472">
        <f t="shared" si="94"/>
        <v>0.45137011050301706</v>
      </c>
      <c r="BB62" s="6">
        <f t="shared" si="95"/>
        <v>0.24847028288467729</v>
      </c>
      <c r="BC62" s="6"/>
      <c r="BD62" s="179">
        <f t="shared" si="55"/>
        <v>0.19804848732445593</v>
      </c>
      <c r="BE62" s="179">
        <f t="shared" si="96"/>
        <v>0.16012500914283595</v>
      </c>
      <c r="BF62" s="179"/>
      <c r="BG62" s="546">
        <f t="shared" si="97"/>
        <v>1.3728121166026813E-2</v>
      </c>
      <c r="BH62" s="546">
        <f t="shared" si="98"/>
        <v>4.1975628213835499E-2</v>
      </c>
      <c r="BI62" s="546">
        <f t="shared" si="99"/>
        <v>4.3749999999999995E-3</v>
      </c>
      <c r="BJ62" s="546">
        <f t="shared" si="100"/>
        <v>2.2996093750000002E-2</v>
      </c>
      <c r="BK62">
        <f t="shared" si="101"/>
        <v>3.48E-3</v>
      </c>
      <c r="BL62" s="546">
        <f t="shared" si="102"/>
        <v>8.6968534531722555E-2</v>
      </c>
      <c r="BM62" s="472">
        <f t="shared" si="56"/>
        <v>86.968534531722554</v>
      </c>
      <c r="BN62" s="546">
        <f t="shared" si="103"/>
        <v>1.8809999999999997E-2</v>
      </c>
      <c r="BO62" s="546"/>
      <c r="BQ62" s="472">
        <f t="shared" si="57"/>
        <v>18.809999999999995</v>
      </c>
      <c r="BR62" s="546">
        <f t="shared" si="104"/>
        <v>7.8446406663010369E-3</v>
      </c>
      <c r="BS62" s="546">
        <f t="shared" si="105"/>
        <v>5.1280037105986597E-3</v>
      </c>
      <c r="BT62" s="546">
        <f t="shared" si="106"/>
        <v>1.4809480698131804E-2</v>
      </c>
      <c r="BU62" s="546">
        <f t="shared" si="107"/>
        <v>2.781098763922462E-2</v>
      </c>
      <c r="BV62" s="546">
        <f t="shared" si="108"/>
        <v>1.2599680851063829E-2</v>
      </c>
      <c r="BW62" s="472">
        <f t="shared" si="58"/>
        <v>40.410668490288444</v>
      </c>
      <c r="BX62" s="179">
        <f t="shared" si="59"/>
        <v>0.14618920302201099</v>
      </c>
      <c r="BY62" s="6">
        <f t="shared" si="60"/>
        <v>1.5047999999999999</v>
      </c>
      <c r="BZ62" s="179">
        <f t="shared" si="61"/>
        <v>0.91145356810667044</v>
      </c>
      <c r="CA62" s="6">
        <f t="shared" si="62"/>
        <v>91.145356810667039</v>
      </c>
      <c r="CD62" s="581">
        <f t="shared" si="109"/>
        <v>-50</v>
      </c>
      <c r="CE62">
        <f t="shared" si="110"/>
        <v>-50</v>
      </c>
    </row>
    <row r="63" spans="5:83" x14ac:dyDescent="0.2">
      <c r="E63" s="176">
        <v>58</v>
      </c>
      <c r="F63" s="223">
        <f t="shared" si="111"/>
        <v>6.3799999999999996E-2</v>
      </c>
      <c r="G63" s="223"/>
      <c r="H63" s="223">
        <f t="shared" si="64"/>
        <v>1.5311999999999999</v>
      </c>
      <c r="I63" s="559">
        <f t="shared" si="65"/>
        <v>12</v>
      </c>
      <c r="J63" s="178">
        <f t="shared" si="66"/>
        <v>24.25</v>
      </c>
      <c r="K63" s="454">
        <f t="shared" si="67"/>
        <v>36.25</v>
      </c>
      <c r="L63" s="454"/>
      <c r="M63" s="223">
        <f t="shared" si="68"/>
        <v>0.66896551724137931</v>
      </c>
      <c r="N63" s="178">
        <f t="shared" si="5"/>
        <v>5.528999999999999</v>
      </c>
      <c r="O63" s="178">
        <f t="shared" si="49"/>
        <v>1.5311999999999999</v>
      </c>
      <c r="P63" s="223">
        <f t="shared" si="69"/>
        <v>0.23037499999999997</v>
      </c>
      <c r="Q63" s="223">
        <f t="shared" si="70"/>
        <v>24</v>
      </c>
      <c r="R63" s="223">
        <f t="shared" si="71"/>
        <v>0.24250000000000002</v>
      </c>
      <c r="S63" s="178">
        <f t="shared" si="72"/>
        <v>117.57091691731935</v>
      </c>
      <c r="T63" s="178">
        <f t="shared" si="73"/>
        <v>24</v>
      </c>
      <c r="U63" s="223">
        <f t="shared" si="74"/>
        <v>0.40156266956049919</v>
      </c>
      <c r="V63" s="223">
        <f t="shared" si="75"/>
        <v>1.5727871224452885</v>
      </c>
      <c r="W63" s="223">
        <f t="shared" si="76"/>
        <v>0.77828641110694685</v>
      </c>
      <c r="X63" s="203">
        <f t="shared" si="77"/>
        <v>350</v>
      </c>
      <c r="Y63" s="454">
        <f t="shared" si="50"/>
        <v>350</v>
      </c>
      <c r="AA63" s="223">
        <f t="shared" si="78"/>
        <v>0.48799916151346817</v>
      </c>
      <c r="AB63" s="179">
        <f t="shared" si="79"/>
        <v>0.94581280788177335</v>
      </c>
      <c r="AC63" s="179">
        <f t="shared" si="80"/>
        <v>8.077227500912576E-2</v>
      </c>
      <c r="AD63" s="179"/>
      <c r="AE63" s="179">
        <f t="shared" si="81"/>
        <v>0.56206185567010303</v>
      </c>
      <c r="AF63" s="563">
        <f t="shared" si="112"/>
        <v>782.8319882611886</v>
      </c>
      <c r="AG63" s="546">
        <f t="shared" si="82"/>
        <v>2.8524639175257726E-2</v>
      </c>
      <c r="AI63" s="179">
        <f t="shared" si="83"/>
        <v>0.44497586388127852</v>
      </c>
      <c r="AJ63" s="179">
        <f t="shared" si="84"/>
        <v>0.44497586388127852</v>
      </c>
      <c r="AK63" s="179">
        <f t="shared" si="85"/>
        <v>1.3147969362083545</v>
      </c>
      <c r="AM63" s="563">
        <f t="shared" si="86"/>
        <v>63.8</v>
      </c>
      <c r="AN63" s="472">
        <f t="shared" si="87"/>
        <v>350</v>
      </c>
      <c r="AP63">
        <f t="shared" si="88"/>
        <v>63.8</v>
      </c>
      <c r="AQ63">
        <f t="shared" si="89"/>
        <v>350</v>
      </c>
      <c r="AS63" s="6">
        <f t="shared" si="51"/>
        <v>2.8571428571428572</v>
      </c>
      <c r="AT63" s="6">
        <f t="shared" si="90"/>
        <v>1.7428221335350074</v>
      </c>
      <c r="AU63" s="6">
        <f t="shared" si="52"/>
        <v>1.1143207236078498</v>
      </c>
      <c r="AV63" s="6">
        <f t="shared" si="91"/>
        <v>0.86242744752247791</v>
      </c>
      <c r="AW63" s="179">
        <f t="shared" si="53"/>
        <v>0.60998774673725253</v>
      </c>
      <c r="AX63" s="179">
        <f t="shared" si="92"/>
        <v>1.6285789473684209</v>
      </c>
      <c r="AY63" s="179">
        <f t="shared" si="93"/>
        <v>8.6773019659937514E-2</v>
      </c>
      <c r="AZ63" s="179">
        <f t="shared" si="54"/>
        <v>18.76826407275906</v>
      </c>
      <c r="BA63" s="472">
        <f t="shared" si="94"/>
        <v>0.46330021716472275</v>
      </c>
      <c r="BB63" s="6">
        <f t="shared" si="95"/>
        <v>0.24945144619712561</v>
      </c>
      <c r="BC63" s="6"/>
      <c r="BD63" s="179">
        <f t="shared" si="55"/>
        <v>0.20064871514444874</v>
      </c>
      <c r="BE63" s="179">
        <f t="shared" si="96"/>
        <v>0.16044084971263367</v>
      </c>
      <c r="BF63" s="179"/>
      <c r="BG63" s="546">
        <f t="shared" si="97"/>
        <v>1.4090967411191344E-2</v>
      </c>
      <c r="BH63" s="546">
        <f t="shared" si="98"/>
        <v>4.2342234547452902E-2</v>
      </c>
      <c r="BI63" s="546">
        <f t="shared" si="99"/>
        <v>4.3749999999999995E-3</v>
      </c>
      <c r="BJ63" s="546">
        <f t="shared" si="100"/>
        <v>2.2996093750000002E-2</v>
      </c>
      <c r="BK63">
        <f t="shared" si="101"/>
        <v>3.48E-3</v>
      </c>
      <c r="BL63" s="546">
        <f t="shared" si="102"/>
        <v>8.7712554026170356E-2</v>
      </c>
      <c r="BM63" s="472">
        <f t="shared" si="56"/>
        <v>87.712554026170352</v>
      </c>
      <c r="BN63" s="546">
        <f t="shared" si="103"/>
        <v>1.9139999999999997E-2</v>
      </c>
      <c r="BO63" s="546"/>
      <c r="BQ63" s="472">
        <f t="shared" si="57"/>
        <v>19.139999999999997</v>
      </c>
      <c r="BR63" s="546">
        <f t="shared" si="104"/>
        <v>8.0519813778236263E-3</v>
      </c>
      <c r="BS63" s="546">
        <f t="shared" si="105"/>
        <v>5.148253251302381E-3</v>
      </c>
      <c r="BT63" s="546">
        <f t="shared" si="106"/>
        <v>1.5134959125098496E-2</v>
      </c>
      <c r="BU63" s="546">
        <f t="shared" si="107"/>
        <v>2.8365147882811942E-2</v>
      </c>
      <c r="BV63" s="546">
        <f t="shared" si="108"/>
        <v>1.2820727883538637E-2</v>
      </c>
      <c r="BW63" s="472">
        <f t="shared" si="58"/>
        <v>41.185875766350577</v>
      </c>
      <c r="BX63" s="179">
        <f t="shared" si="59"/>
        <v>0.14803842979252094</v>
      </c>
      <c r="BY63" s="6">
        <f t="shared" si="60"/>
        <v>1.5311999999999999</v>
      </c>
      <c r="BZ63" s="179">
        <f t="shared" si="61"/>
        <v>0.91184192359698912</v>
      </c>
      <c r="CA63" s="6">
        <f t="shared" si="62"/>
        <v>91.184192359698912</v>
      </c>
      <c r="CD63" s="581">
        <f t="shared" si="109"/>
        <v>-50</v>
      </c>
      <c r="CE63">
        <f t="shared" si="110"/>
        <v>-50</v>
      </c>
    </row>
    <row r="64" spans="5:83" x14ac:dyDescent="0.2">
      <c r="E64" s="176">
        <v>59</v>
      </c>
      <c r="F64" s="223">
        <f t="shared" si="111"/>
        <v>6.4899999999999999E-2</v>
      </c>
      <c r="G64" s="223"/>
      <c r="H64" s="223">
        <f t="shared" si="64"/>
        <v>1.5575999999999999</v>
      </c>
      <c r="I64" s="559">
        <f t="shared" si="65"/>
        <v>12</v>
      </c>
      <c r="J64" s="178">
        <f t="shared" si="66"/>
        <v>24.25</v>
      </c>
      <c r="K64" s="454">
        <f t="shared" si="67"/>
        <v>36.25</v>
      </c>
      <c r="L64" s="454"/>
      <c r="M64" s="223">
        <f t="shared" si="68"/>
        <v>0.66896551724137931</v>
      </c>
      <c r="N64" s="178">
        <f t="shared" si="5"/>
        <v>5.528999999999999</v>
      </c>
      <c r="O64" s="178">
        <f t="shared" si="49"/>
        <v>1.5575999999999999</v>
      </c>
      <c r="P64" s="223">
        <f t="shared" si="69"/>
        <v>0.23037499999999997</v>
      </c>
      <c r="Q64" s="223">
        <f t="shared" si="70"/>
        <v>24</v>
      </c>
      <c r="R64" s="223">
        <f t="shared" si="71"/>
        <v>0.24250000000000002</v>
      </c>
      <c r="S64" s="178">
        <f t="shared" si="72"/>
        <v>115.37571466077152</v>
      </c>
      <c r="T64" s="178">
        <f t="shared" si="73"/>
        <v>24</v>
      </c>
      <c r="U64" s="223">
        <f t="shared" si="74"/>
        <v>0.40848616386326642</v>
      </c>
      <c r="V64" s="223">
        <f t="shared" si="75"/>
        <v>1.5999041417977935</v>
      </c>
      <c r="W64" s="223">
        <f t="shared" si="76"/>
        <v>0.79170514233292877</v>
      </c>
      <c r="X64" s="203">
        <f t="shared" si="77"/>
        <v>350</v>
      </c>
      <c r="Y64" s="454">
        <f t="shared" si="50"/>
        <v>350</v>
      </c>
      <c r="AA64" s="223">
        <f t="shared" si="78"/>
        <v>0.48799916151346817</v>
      </c>
      <c r="AB64" s="179">
        <f t="shared" si="79"/>
        <v>0.94581280788177335</v>
      </c>
      <c r="AC64" s="179">
        <f t="shared" si="80"/>
        <v>8.077227500912576E-2</v>
      </c>
      <c r="AD64" s="179"/>
      <c r="AE64" s="179">
        <f t="shared" si="81"/>
        <v>0.56206185567010303</v>
      </c>
      <c r="AF64" s="563">
        <f t="shared" si="112"/>
        <v>796.32909150707133</v>
      </c>
      <c r="AG64" s="546">
        <f t="shared" si="82"/>
        <v>2.8524639175257726E-2</v>
      </c>
      <c r="AI64" s="179">
        <f t="shared" si="83"/>
        <v>0.44879546925106628</v>
      </c>
      <c r="AJ64" s="179">
        <f t="shared" si="84"/>
        <v>0.44879546925106628</v>
      </c>
      <c r="AK64" s="179">
        <f t="shared" si="85"/>
        <v>1.3176262735193083</v>
      </c>
      <c r="AM64" s="563">
        <f t="shared" si="86"/>
        <v>64.900000000000006</v>
      </c>
      <c r="AN64" s="472">
        <f t="shared" si="87"/>
        <v>350</v>
      </c>
      <c r="AP64">
        <f t="shared" si="88"/>
        <v>64.900000000000006</v>
      </c>
      <c r="AQ64">
        <f t="shared" si="89"/>
        <v>350</v>
      </c>
      <c r="AS64" s="6">
        <f t="shared" si="51"/>
        <v>2.8571428571428572</v>
      </c>
      <c r="AT64" s="6">
        <f t="shared" si="90"/>
        <v>1.7577822545666759</v>
      </c>
      <c r="AU64" s="6">
        <f t="shared" si="52"/>
        <v>1.0993606025761813</v>
      </c>
      <c r="AV64" s="6">
        <f t="shared" si="91"/>
        <v>0.86983039401237572</v>
      </c>
      <c r="AW64" s="179">
        <f t="shared" si="53"/>
        <v>0.61522378909833653</v>
      </c>
      <c r="AX64" s="179">
        <f t="shared" si="92"/>
        <v>1.656657894736842</v>
      </c>
      <c r="AY64" s="179">
        <f t="shared" si="93"/>
        <v>8.6342910064129655E-2</v>
      </c>
      <c r="AZ64" s="179">
        <f t="shared" si="54"/>
        <v>19.186959224635686</v>
      </c>
      <c r="BA64" s="472">
        <f t="shared" si="94"/>
        <v>0.47533361800573859</v>
      </c>
      <c r="BB64" s="6">
        <f t="shared" si="95"/>
        <v>0.25034562493752333</v>
      </c>
      <c r="BC64" s="6"/>
      <c r="BD64" s="179">
        <f t="shared" si="55"/>
        <v>0.20323775858405954</v>
      </c>
      <c r="BE64" s="179">
        <f t="shared" si="96"/>
        <v>0.16072814903584598</v>
      </c>
      <c r="BF64" s="179"/>
      <c r="BG64" s="546">
        <f t="shared" si="97"/>
        <v>1.4456955279995364E-2</v>
      </c>
      <c r="BH64" s="546">
        <f t="shared" si="98"/>
        <v>4.2705693870921775E-2</v>
      </c>
      <c r="BI64" s="546">
        <f t="shared" si="99"/>
        <v>4.3749999999999995E-3</v>
      </c>
      <c r="BJ64" s="546">
        <f t="shared" si="100"/>
        <v>2.2996093750000002E-2</v>
      </c>
      <c r="BK64">
        <f t="shared" si="101"/>
        <v>3.48E-3</v>
      </c>
      <c r="BL64" s="546">
        <f t="shared" si="102"/>
        <v>8.8456852910591702E-2</v>
      </c>
      <c r="BM64" s="472">
        <f t="shared" si="56"/>
        <v>88.456852910591707</v>
      </c>
      <c r="BN64" s="546">
        <f t="shared" si="103"/>
        <v>1.9469999999999998E-2</v>
      </c>
      <c r="BO64" s="546"/>
      <c r="BQ64" s="472">
        <f t="shared" si="57"/>
        <v>19.47</v>
      </c>
      <c r="BR64" s="546">
        <f t="shared" si="104"/>
        <v>8.2611173028544951E-3</v>
      </c>
      <c r="BS64" s="546">
        <f t="shared" si="105"/>
        <v>5.1667075784978238E-3</v>
      </c>
      <c r="BT64" s="546">
        <f t="shared" si="106"/>
        <v>1.5461843565299432E-2</v>
      </c>
      <c r="BU64" s="546">
        <f t="shared" si="107"/>
        <v>2.8920735852769417E-2</v>
      </c>
      <c r="BV64" s="546">
        <f t="shared" si="108"/>
        <v>1.3041774916013439E-2</v>
      </c>
      <c r="BW64" s="472">
        <f t="shared" si="58"/>
        <v>41.962510768782856</v>
      </c>
      <c r="BX64" s="179">
        <f t="shared" si="59"/>
        <v>0.14988936367937455</v>
      </c>
      <c r="BY64" s="6">
        <f t="shared" si="60"/>
        <v>1.5575999999999999</v>
      </c>
      <c r="BZ64" s="179">
        <f t="shared" si="61"/>
        <v>0.91221651691206662</v>
      </c>
      <c r="CA64" s="6">
        <f t="shared" si="62"/>
        <v>91.22165169120666</v>
      </c>
      <c r="CD64" s="581">
        <f t="shared" si="109"/>
        <v>-50</v>
      </c>
      <c r="CE64">
        <f t="shared" si="110"/>
        <v>-50</v>
      </c>
    </row>
    <row r="65" spans="5:83" x14ac:dyDescent="0.2">
      <c r="E65" s="176">
        <v>60</v>
      </c>
      <c r="F65" s="223">
        <f t="shared" si="111"/>
        <v>6.6000000000000003E-2</v>
      </c>
      <c r="G65" s="223"/>
      <c r="H65" s="223">
        <f t="shared" si="64"/>
        <v>1.5840000000000001</v>
      </c>
      <c r="I65" s="559">
        <f t="shared" si="65"/>
        <v>12</v>
      </c>
      <c r="J65" s="178">
        <f t="shared" si="66"/>
        <v>24.25</v>
      </c>
      <c r="K65" s="454">
        <f t="shared" si="67"/>
        <v>36.25</v>
      </c>
      <c r="L65" s="454"/>
      <c r="M65" s="223">
        <f t="shared" si="68"/>
        <v>0.66896551724137931</v>
      </c>
      <c r="N65" s="178">
        <f t="shared" si="5"/>
        <v>5.528999999999999</v>
      </c>
      <c r="O65" s="178">
        <f t="shared" si="49"/>
        <v>1.5840000000000001</v>
      </c>
      <c r="P65" s="223">
        <f t="shared" si="69"/>
        <v>0.23037499999999997</v>
      </c>
      <c r="Q65" s="223">
        <f t="shared" si="70"/>
        <v>24</v>
      </c>
      <c r="R65" s="223">
        <f t="shared" si="71"/>
        <v>0.24250000000000002</v>
      </c>
      <c r="S65" s="178">
        <f t="shared" si="72"/>
        <v>113.25370358287743</v>
      </c>
      <c r="T65" s="178">
        <f t="shared" si="73"/>
        <v>24</v>
      </c>
      <c r="U65" s="223">
        <f t="shared" si="74"/>
        <v>0.4154096581660337</v>
      </c>
      <c r="V65" s="223">
        <f t="shared" si="75"/>
        <v>1.6270211611502985</v>
      </c>
      <c r="W65" s="223">
        <f t="shared" si="76"/>
        <v>0.80512387355891057</v>
      </c>
      <c r="X65" s="203">
        <f t="shared" si="77"/>
        <v>350</v>
      </c>
      <c r="Y65" s="454">
        <f t="shared" si="50"/>
        <v>350</v>
      </c>
      <c r="AA65" s="223">
        <f t="shared" si="78"/>
        <v>0.48799916151346817</v>
      </c>
      <c r="AB65" s="179">
        <f t="shared" si="79"/>
        <v>0.94581280788177335</v>
      </c>
      <c r="AC65" s="179">
        <f t="shared" si="80"/>
        <v>8.077227500912576E-2</v>
      </c>
      <c r="AD65" s="179"/>
      <c r="AE65" s="179">
        <f t="shared" si="81"/>
        <v>0.56206185567010303</v>
      </c>
      <c r="AF65" s="563">
        <f t="shared" si="112"/>
        <v>809.82619475295382</v>
      </c>
      <c r="AG65" s="546">
        <f t="shared" si="82"/>
        <v>2.8524639175257726E-2</v>
      </c>
      <c r="AI65" s="179">
        <f t="shared" si="83"/>
        <v>0.45258283993505483</v>
      </c>
      <c r="AJ65" s="179">
        <f t="shared" si="84"/>
        <v>0.45258283993505483</v>
      </c>
      <c r="AK65" s="179">
        <f t="shared" si="85"/>
        <v>1.3204317332852258</v>
      </c>
      <c r="AM65" s="563">
        <f t="shared" si="86"/>
        <v>66</v>
      </c>
      <c r="AN65" s="472">
        <f t="shared" si="87"/>
        <v>350</v>
      </c>
      <c r="AP65">
        <f t="shared" si="88"/>
        <v>66</v>
      </c>
      <c r="AQ65">
        <f t="shared" si="89"/>
        <v>350</v>
      </c>
      <c r="AS65" s="6">
        <f t="shared" si="51"/>
        <v>2.8571428571428572</v>
      </c>
      <c r="AT65" s="6">
        <f t="shared" si="90"/>
        <v>1.7726161230789645</v>
      </c>
      <c r="AU65" s="6">
        <f t="shared" si="52"/>
        <v>1.0845267340638927</v>
      </c>
      <c r="AV65" s="6">
        <f t="shared" si="91"/>
        <v>0.87717086502876596</v>
      </c>
      <c r="AW65" s="179">
        <f t="shared" si="53"/>
        <v>0.62041564307763752</v>
      </c>
      <c r="AX65" s="179">
        <f t="shared" si="92"/>
        <v>1.6847368421052631</v>
      </c>
      <c r="AY65" s="179">
        <f t="shared" si="93"/>
        <v>8.5896683125422146E-2</v>
      </c>
      <c r="AZ65" s="179">
        <f t="shared" si="54"/>
        <v>19.613526166607535</v>
      </c>
      <c r="BA65" s="472">
        <f t="shared" si="94"/>
        <v>0.48746943384671526</v>
      </c>
      <c r="BB65" s="6">
        <f t="shared" si="95"/>
        <v>0.25115355946742779</v>
      </c>
      <c r="BC65" s="6"/>
      <c r="BD65" s="179">
        <f t="shared" si="55"/>
        <v>0.20581585412197098</v>
      </c>
      <c r="BE65" s="179">
        <f t="shared" si="96"/>
        <v>0.16098729720054533</v>
      </c>
      <c r="BF65" s="179"/>
      <c r="BG65" s="546">
        <f t="shared" si="97"/>
        <v>1.4826058032784752E-2</v>
      </c>
      <c r="BH65" s="546">
        <f t="shared" si="98"/>
        <v>4.3066085862570054E-2</v>
      </c>
      <c r="BI65" s="546">
        <f t="shared" si="99"/>
        <v>4.3749999999999995E-3</v>
      </c>
      <c r="BJ65" s="546">
        <f t="shared" si="100"/>
        <v>2.2996093750000002E-2</v>
      </c>
      <c r="BK65">
        <f t="shared" si="101"/>
        <v>3.48E-3</v>
      </c>
      <c r="BL65" s="546">
        <f t="shared" si="102"/>
        <v>8.9201486116340628E-2</v>
      </c>
      <c r="BM65" s="472">
        <f t="shared" si="56"/>
        <v>89.201486116340632</v>
      </c>
      <c r="BN65" s="546">
        <f t="shared" si="103"/>
        <v>1.9800000000000002E-2</v>
      </c>
      <c r="BO65" s="546"/>
      <c r="BQ65" s="472">
        <f t="shared" si="57"/>
        <v>19.8</v>
      </c>
      <c r="BR65" s="546">
        <f t="shared" si="104"/>
        <v>8.4720331615912876E-3</v>
      </c>
      <c r="BS65" s="546">
        <f t="shared" si="105"/>
        <v>5.1833819719873421E-3</v>
      </c>
      <c r="BT65" s="546">
        <f t="shared" si="106"/>
        <v>1.5790116106031205E-2</v>
      </c>
      <c r="BU65" s="546">
        <f t="shared" si="107"/>
        <v>2.9477733694873883E-2</v>
      </c>
      <c r="BV65" s="546">
        <f t="shared" si="108"/>
        <v>1.3262821948488246E-2</v>
      </c>
      <c r="BW65" s="472">
        <f t="shared" si="58"/>
        <v>42.740555643362129</v>
      </c>
      <c r="BX65" s="179">
        <f t="shared" si="59"/>
        <v>0.15174204175970274</v>
      </c>
      <c r="BY65" s="6">
        <f t="shared" si="60"/>
        <v>1.5840000000000001</v>
      </c>
      <c r="BZ65" s="179">
        <f t="shared" si="61"/>
        <v>0.91257799943252738</v>
      </c>
      <c r="CA65" s="6">
        <f t="shared" si="62"/>
        <v>91.257799943252735</v>
      </c>
      <c r="CD65" s="581">
        <f t="shared" si="109"/>
        <v>-50</v>
      </c>
      <c r="CE65">
        <f t="shared" si="110"/>
        <v>-50</v>
      </c>
    </row>
    <row r="66" spans="5:83" x14ac:dyDescent="0.2">
      <c r="E66" s="176">
        <v>61</v>
      </c>
      <c r="F66" s="223">
        <f t="shared" si="111"/>
        <v>6.7099999999999993E-2</v>
      </c>
      <c r="G66" s="223"/>
      <c r="H66" s="223">
        <f t="shared" si="64"/>
        <v>1.6103999999999998</v>
      </c>
      <c r="I66" s="559">
        <f t="shared" si="65"/>
        <v>12</v>
      </c>
      <c r="J66" s="178">
        <f t="shared" si="66"/>
        <v>24.25</v>
      </c>
      <c r="K66" s="454">
        <f t="shared" si="67"/>
        <v>36.25</v>
      </c>
      <c r="L66" s="454"/>
      <c r="M66" s="223">
        <f t="shared" si="68"/>
        <v>0.66896551724137931</v>
      </c>
      <c r="N66" s="178">
        <f t="shared" si="5"/>
        <v>5.528999999999999</v>
      </c>
      <c r="O66" s="178">
        <f t="shared" si="49"/>
        <v>1.6103999999999998</v>
      </c>
      <c r="P66" s="223">
        <f t="shared" si="69"/>
        <v>0.23037499999999997</v>
      </c>
      <c r="Q66" s="223">
        <f t="shared" si="70"/>
        <v>24</v>
      </c>
      <c r="R66" s="223">
        <f t="shared" si="71"/>
        <v>0.24250000000000002</v>
      </c>
      <c r="S66" s="178">
        <f t="shared" si="72"/>
        <v>111.20128420722945</v>
      </c>
      <c r="T66" s="178">
        <f t="shared" si="73"/>
        <v>24</v>
      </c>
      <c r="U66" s="223">
        <f t="shared" si="74"/>
        <v>0.42233315246880088</v>
      </c>
      <c r="V66" s="223">
        <f t="shared" si="75"/>
        <v>1.6541381805028033</v>
      </c>
      <c r="W66" s="223">
        <f t="shared" si="76"/>
        <v>0.81854260478489238</v>
      </c>
      <c r="X66" s="203">
        <f t="shared" si="77"/>
        <v>350</v>
      </c>
      <c r="Y66" s="454">
        <f t="shared" si="50"/>
        <v>350</v>
      </c>
      <c r="AA66" s="223">
        <f t="shared" si="78"/>
        <v>0.48799916151346817</v>
      </c>
      <c r="AB66" s="179">
        <f t="shared" si="79"/>
        <v>0.94581280788177335</v>
      </c>
      <c r="AC66" s="179">
        <f t="shared" si="80"/>
        <v>8.077227500912576E-2</v>
      </c>
      <c r="AD66" s="179"/>
      <c r="AE66" s="179">
        <f t="shared" si="81"/>
        <v>0.56206185567010303</v>
      </c>
      <c r="AF66" s="563">
        <f t="shared" si="112"/>
        <v>823.32329799883632</v>
      </c>
      <c r="AG66" s="546">
        <f t="shared" si="82"/>
        <v>2.8524639175257726E-2</v>
      </c>
      <c r="AI66" s="179">
        <f t="shared" si="83"/>
        <v>0.45633877852651761</v>
      </c>
      <c r="AJ66" s="179">
        <f t="shared" si="84"/>
        <v>0.45633877852651761</v>
      </c>
      <c r="AK66" s="179">
        <f t="shared" si="85"/>
        <v>1.3232139100196427</v>
      </c>
      <c r="AM66" s="563">
        <f t="shared" si="86"/>
        <v>67.099999999999994</v>
      </c>
      <c r="AN66" s="472">
        <f t="shared" si="87"/>
        <v>350</v>
      </c>
      <c r="AP66">
        <f t="shared" si="88"/>
        <v>67.099999999999994</v>
      </c>
      <c r="AQ66">
        <f t="shared" si="89"/>
        <v>350</v>
      </c>
      <c r="AS66" s="6">
        <f t="shared" si="51"/>
        <v>2.8571428571428572</v>
      </c>
      <c r="AT66" s="6">
        <f t="shared" si="90"/>
        <v>1.787326882562194</v>
      </c>
      <c r="AU66" s="6">
        <f t="shared" si="52"/>
        <v>1.0698159745806632</v>
      </c>
      <c r="AV66" s="6">
        <f t="shared" si="91"/>
        <v>0.88445041611325048</v>
      </c>
      <c r="AW66" s="179">
        <f t="shared" si="53"/>
        <v>0.6255644088967679</v>
      </c>
      <c r="AX66" s="179">
        <f t="shared" si="92"/>
        <v>1.7128157894736842</v>
      </c>
      <c r="AY66" s="179">
        <f t="shared" si="93"/>
        <v>8.543474014045177E-2</v>
      </c>
      <c r="AZ66" s="179">
        <f t="shared" si="54"/>
        <v>20.048235491298669</v>
      </c>
      <c r="BA66" s="472">
        <f t="shared" si="94"/>
        <v>0.49970680758301333</v>
      </c>
      <c r="BB66" s="6">
        <f t="shared" si="95"/>
        <v>0.25187597155916663</v>
      </c>
      <c r="BC66" s="6"/>
      <c r="BD66" s="179">
        <f t="shared" si="55"/>
        <v>0.2083832293861686</v>
      </c>
      <c r="BE66" s="179">
        <f t="shared" si="96"/>
        <v>0.16121866095342727</v>
      </c>
      <c r="BF66" s="179"/>
      <c r="BG66" s="546">
        <f t="shared" si="97"/>
        <v>1.5198249601292995E-2</v>
      </c>
      <c r="BH66" s="546">
        <f t="shared" si="98"/>
        <v>4.3423486894163935E-2</v>
      </c>
      <c r="BI66" s="546">
        <f t="shared" si="99"/>
        <v>4.3749999999999995E-3</v>
      </c>
      <c r="BJ66" s="546">
        <f t="shared" si="100"/>
        <v>2.2996093750000002E-2</v>
      </c>
      <c r="BK66">
        <f t="shared" si="101"/>
        <v>3.48E-3</v>
      </c>
      <c r="BL66" s="546">
        <f t="shared" si="102"/>
        <v>8.9946505949251618E-2</v>
      </c>
      <c r="BM66" s="472">
        <f t="shared" si="56"/>
        <v>89.946505949251616</v>
      </c>
      <c r="BN66" s="546">
        <f t="shared" si="103"/>
        <v>2.0129999999999999E-2</v>
      </c>
      <c r="BO66" s="546"/>
      <c r="BQ66" s="472">
        <f t="shared" si="57"/>
        <v>20.13</v>
      </c>
      <c r="BR66" s="546">
        <f t="shared" si="104"/>
        <v>8.6847140578817129E-3</v>
      </c>
      <c r="BS66" s="546">
        <f t="shared" si="105"/>
        <v>5.1982913279232275E-3</v>
      </c>
      <c r="BT66" s="546">
        <f t="shared" si="106"/>
        <v>1.6119759358211447E-2</v>
      </c>
      <c r="BU66" s="546">
        <f t="shared" si="107"/>
        <v>3.0036124077803657E-2</v>
      </c>
      <c r="BV66" s="546">
        <f t="shared" si="108"/>
        <v>1.3483868980963048E-2</v>
      </c>
      <c r="BW66" s="472">
        <f t="shared" si="58"/>
        <v>43.519993058766708</v>
      </c>
      <c r="BX66" s="179">
        <f t="shared" si="59"/>
        <v>0.15359649900801831</v>
      </c>
      <c r="BY66" s="6">
        <f t="shared" si="60"/>
        <v>1.6103999999999998</v>
      </c>
      <c r="BZ66" s="179">
        <f t="shared" si="61"/>
        <v>0.9129269819444692</v>
      </c>
      <c r="CA66" s="6">
        <f t="shared" si="62"/>
        <v>91.292698194446913</v>
      </c>
      <c r="CD66" s="581">
        <f t="shared" si="109"/>
        <v>-50</v>
      </c>
      <c r="CE66">
        <f t="shared" si="110"/>
        <v>-50</v>
      </c>
    </row>
    <row r="67" spans="5:83" x14ac:dyDescent="0.2">
      <c r="E67" s="176">
        <v>62</v>
      </c>
      <c r="F67" s="223">
        <f t="shared" si="111"/>
        <v>6.8199999999999997E-2</v>
      </c>
      <c r="G67" s="223"/>
      <c r="H67" s="223">
        <f t="shared" si="64"/>
        <v>1.6368</v>
      </c>
      <c r="I67" s="559">
        <f t="shared" si="65"/>
        <v>12</v>
      </c>
      <c r="J67" s="178">
        <f t="shared" si="66"/>
        <v>24.25</v>
      </c>
      <c r="K67" s="454">
        <f t="shared" si="67"/>
        <v>36.25</v>
      </c>
      <c r="L67" s="454"/>
      <c r="M67" s="223">
        <f t="shared" si="68"/>
        <v>0.66896551724137931</v>
      </c>
      <c r="N67" s="178">
        <f t="shared" si="5"/>
        <v>5.528999999999999</v>
      </c>
      <c r="O67" s="178">
        <f t="shared" si="49"/>
        <v>1.6368</v>
      </c>
      <c r="P67" s="223">
        <f t="shared" si="69"/>
        <v>0.23037499999999997</v>
      </c>
      <c r="Q67" s="223">
        <f t="shared" si="70"/>
        <v>24</v>
      </c>
      <c r="R67" s="223">
        <f t="shared" si="71"/>
        <v>0.24250000000000002</v>
      </c>
      <c r="S67" s="178">
        <f t="shared" si="72"/>
        <v>109.21508928229358</v>
      </c>
      <c r="T67" s="178">
        <f t="shared" si="73"/>
        <v>24</v>
      </c>
      <c r="U67" s="223">
        <f t="shared" si="74"/>
        <v>0.42925664677156816</v>
      </c>
      <c r="V67" s="223">
        <f t="shared" si="75"/>
        <v>1.6812551998553085</v>
      </c>
      <c r="W67" s="223">
        <f t="shared" si="76"/>
        <v>0.83196133601087441</v>
      </c>
      <c r="X67" s="203">
        <f t="shared" si="77"/>
        <v>350</v>
      </c>
      <c r="Y67" s="454">
        <f t="shared" si="50"/>
        <v>350</v>
      </c>
      <c r="AA67" s="223">
        <f t="shared" si="78"/>
        <v>0.48799916151346817</v>
      </c>
      <c r="AB67" s="179">
        <f t="shared" si="79"/>
        <v>0.94581280788177335</v>
      </c>
      <c r="AC67" s="179">
        <f t="shared" si="80"/>
        <v>8.077227500912576E-2</v>
      </c>
      <c r="AD67" s="179"/>
      <c r="AE67" s="179">
        <f t="shared" si="81"/>
        <v>0.56206185567010303</v>
      </c>
      <c r="AF67" s="563">
        <f t="shared" si="112"/>
        <v>836.82040124471894</v>
      </c>
      <c r="AG67" s="546">
        <f t="shared" si="82"/>
        <v>2.8524639175257726E-2</v>
      </c>
      <c r="AI67" s="179">
        <f t="shared" si="83"/>
        <v>0.46006405485591761</v>
      </c>
      <c r="AJ67" s="179">
        <f t="shared" si="84"/>
        <v>0.46006405485591761</v>
      </c>
      <c r="AK67" s="179">
        <f t="shared" si="85"/>
        <v>1.3259733739673463</v>
      </c>
      <c r="AM67" s="563">
        <f t="shared" si="86"/>
        <v>68.2</v>
      </c>
      <c r="AN67" s="472">
        <f t="shared" si="87"/>
        <v>350</v>
      </c>
      <c r="AP67">
        <f t="shared" si="88"/>
        <v>68.2</v>
      </c>
      <c r="AQ67">
        <f t="shared" si="89"/>
        <v>350</v>
      </c>
      <c r="AS67" s="6">
        <f t="shared" si="51"/>
        <v>2.8571428571428572</v>
      </c>
      <c r="AT67" s="6">
        <f t="shared" si="90"/>
        <v>1.8019175481856773</v>
      </c>
      <c r="AU67" s="6">
        <f t="shared" si="52"/>
        <v>1.0552253089571799</v>
      </c>
      <c r="AV67" s="6">
        <f t="shared" si="91"/>
        <v>0.89167053930837636</v>
      </c>
      <c r="AW67" s="179">
        <f t="shared" si="53"/>
        <v>0.63067114186498707</v>
      </c>
      <c r="AX67" s="179">
        <f t="shared" si="92"/>
        <v>1.7408947368421057</v>
      </c>
      <c r="AY67" s="179">
        <f t="shared" si="93"/>
        <v>8.4957466024450007E-2</v>
      </c>
      <c r="AZ67" s="179">
        <f t="shared" si="54"/>
        <v>20.491368425949659</v>
      </c>
      <c r="BA67" s="472">
        <f t="shared" si="94"/>
        <v>0.51204490327609664</v>
      </c>
      <c r="BB67" s="6">
        <f t="shared" si="95"/>
        <v>0.25251356516098128</v>
      </c>
      <c r="BC67" s="6"/>
      <c r="BD67" s="179">
        <f t="shared" si="55"/>
        <v>0.21094010362461041</v>
      </c>
      <c r="BE67" s="179">
        <f t="shared" si="96"/>
        <v>0.16142258476741994</v>
      </c>
      <c r="BF67" s="179"/>
      <c r="BG67" s="546">
        <f t="shared" si="97"/>
        <v>1.5573504561006481E-2</v>
      </c>
      <c r="BH67" s="546">
        <f t="shared" si="98"/>
        <v>4.3777970219883403E-2</v>
      </c>
      <c r="BI67" s="546">
        <f t="shared" si="99"/>
        <v>4.3749999999999995E-3</v>
      </c>
      <c r="BJ67" s="546">
        <f t="shared" si="100"/>
        <v>2.2996093750000002E-2</v>
      </c>
      <c r="BK67">
        <f t="shared" si="101"/>
        <v>3.48E-3</v>
      </c>
      <c r="BL67" s="546">
        <f t="shared" si="102"/>
        <v>9.0691962250697977E-2</v>
      </c>
      <c r="BM67" s="472">
        <f t="shared" si="56"/>
        <v>90.691962250697983</v>
      </c>
      <c r="BN67" s="546">
        <f t="shared" si="103"/>
        <v>2.0459999999999999E-2</v>
      </c>
      <c r="BO67" s="546"/>
      <c r="BQ67" s="472">
        <f t="shared" si="57"/>
        <v>20.459999999999997</v>
      </c>
      <c r="BR67" s="546">
        <f t="shared" si="104"/>
        <v>8.8991454634322759E-3</v>
      </c>
      <c r="BS67" s="546">
        <f t="shared" si="105"/>
        <v>5.2114501745989753E-3</v>
      </c>
      <c r="BT67" s="546">
        <f t="shared" si="106"/>
        <v>1.645075643271985E-2</v>
      </c>
      <c r="BU67" s="546">
        <f t="shared" si="107"/>
        <v>3.0595890169500494E-2</v>
      </c>
      <c r="BV67" s="546">
        <f t="shared" si="108"/>
        <v>1.3704916013437854E-2</v>
      </c>
      <c r="BW67" s="472">
        <f t="shared" si="58"/>
        <v>44.300806182938352</v>
      </c>
      <c r="BX67" s="179">
        <f t="shared" si="59"/>
        <v>0.15545276843363631</v>
      </c>
      <c r="BY67" s="6">
        <f t="shared" si="60"/>
        <v>1.6368</v>
      </c>
      <c r="BZ67" s="179">
        <f t="shared" si="61"/>
        <v>0.91326403776767695</v>
      </c>
      <c r="CA67" s="6">
        <f t="shared" si="62"/>
        <v>91.326403776767691</v>
      </c>
      <c r="CD67" s="581">
        <f t="shared" si="109"/>
        <v>-50</v>
      </c>
      <c r="CE67">
        <f t="shared" si="110"/>
        <v>-50</v>
      </c>
    </row>
    <row r="68" spans="5:83" x14ac:dyDescent="0.2">
      <c r="E68" s="176">
        <v>63</v>
      </c>
      <c r="F68" s="223">
        <f t="shared" si="111"/>
        <v>6.93E-2</v>
      </c>
      <c r="G68" s="223"/>
      <c r="H68" s="223">
        <f t="shared" si="64"/>
        <v>1.6632</v>
      </c>
      <c r="I68" s="559">
        <f t="shared" si="65"/>
        <v>12</v>
      </c>
      <c r="J68" s="178">
        <f t="shared" si="66"/>
        <v>24.25</v>
      </c>
      <c r="K68" s="454">
        <f t="shared" si="67"/>
        <v>36.25</v>
      </c>
      <c r="L68" s="454"/>
      <c r="M68" s="223">
        <f t="shared" si="68"/>
        <v>0.66896551724137931</v>
      </c>
      <c r="N68" s="178">
        <f t="shared" si="5"/>
        <v>5.528999999999999</v>
      </c>
      <c r="O68" s="178">
        <f t="shared" si="49"/>
        <v>1.6632</v>
      </c>
      <c r="P68" s="223">
        <f t="shared" si="69"/>
        <v>0.23037499999999997</v>
      </c>
      <c r="Q68" s="223">
        <f t="shared" si="70"/>
        <v>24</v>
      </c>
      <c r="R68" s="223">
        <f t="shared" si="71"/>
        <v>0.24250000000000002</v>
      </c>
      <c r="S68" s="178">
        <f t="shared" si="72"/>
        <v>107.29196535086859</v>
      </c>
      <c r="T68" s="178">
        <f t="shared" si="73"/>
        <v>24</v>
      </c>
      <c r="U68" s="223">
        <f t="shared" si="74"/>
        <v>0.43618014107433539</v>
      </c>
      <c r="V68" s="223">
        <f t="shared" si="75"/>
        <v>1.7083722192078135</v>
      </c>
      <c r="W68" s="223">
        <f t="shared" si="76"/>
        <v>0.84538006723685621</v>
      </c>
      <c r="X68" s="203">
        <f t="shared" si="77"/>
        <v>350</v>
      </c>
      <c r="Y68" s="454">
        <f t="shared" si="50"/>
        <v>350</v>
      </c>
      <c r="AA68" s="223">
        <f t="shared" si="78"/>
        <v>0.48799916151346817</v>
      </c>
      <c r="AB68" s="179">
        <f t="shared" si="79"/>
        <v>0.94581280788177335</v>
      </c>
      <c r="AC68" s="179">
        <f t="shared" si="80"/>
        <v>8.077227500912576E-2</v>
      </c>
      <c r="AD68" s="179"/>
      <c r="AE68" s="179">
        <f t="shared" si="81"/>
        <v>0.56206185567010303</v>
      </c>
      <c r="AF68" s="563">
        <f t="shared" si="112"/>
        <v>850.31750449060155</v>
      </c>
      <c r="AG68" s="546">
        <f t="shared" si="82"/>
        <v>2.8524639175257726E-2</v>
      </c>
      <c r="AI68" s="179">
        <f t="shared" si="83"/>
        <v>0.46375940783326802</v>
      </c>
      <c r="AJ68" s="179">
        <f t="shared" si="84"/>
        <v>0.46375940783326802</v>
      </c>
      <c r="AK68" s="179">
        <f t="shared" si="85"/>
        <v>1.3287106724690874</v>
      </c>
      <c r="AM68" s="563">
        <f t="shared" si="86"/>
        <v>69.3</v>
      </c>
      <c r="AN68" s="472">
        <f t="shared" si="87"/>
        <v>350</v>
      </c>
      <c r="AP68">
        <f t="shared" si="88"/>
        <v>69.3</v>
      </c>
      <c r="AQ68">
        <f t="shared" si="89"/>
        <v>350</v>
      </c>
      <c r="AS68" s="6">
        <f t="shared" si="51"/>
        <v>2.8571428571428572</v>
      </c>
      <c r="AT68" s="6">
        <f t="shared" si="90"/>
        <v>1.8163910140136328</v>
      </c>
      <c r="AU68" s="6">
        <f t="shared" si="52"/>
        <v>1.0407518431292244</v>
      </c>
      <c r="AV68" s="6">
        <f t="shared" si="91"/>
        <v>0.89883266672839568</v>
      </c>
      <c r="AW68" s="179">
        <f t="shared" si="53"/>
        <v>0.6357368549047715</v>
      </c>
      <c r="AX68" s="179">
        <f t="shared" si="92"/>
        <v>1.7689736842105266</v>
      </c>
      <c r="AY68" s="179">
        <f t="shared" si="93"/>
        <v>8.4465230232423485E-2</v>
      </c>
      <c r="AZ68" s="179">
        <f t="shared" si="54"/>
        <v>20.943217455784243</v>
      </c>
      <c r="BA68" s="472">
        <f t="shared" si="94"/>
        <v>0.52448290529643649</v>
      </c>
      <c r="BB68" s="6">
        <f t="shared" si="95"/>
        <v>0.25306702711879031</v>
      </c>
      <c r="BC68" s="6"/>
      <c r="BD68" s="179">
        <f t="shared" si="55"/>
        <v>0.21348668814369098</v>
      </c>
      <c r="BE68" s="179">
        <f t="shared" si="96"/>
        <v>0.16159939182040953</v>
      </c>
      <c r="BF68" s="179"/>
      <c r="BG68" s="546">
        <f t="shared" si="97"/>
        <v>1.5951798105096546E-2</v>
      </c>
      <c r="BH68" s="546">
        <f t="shared" si="98"/>
        <v>4.4129606151634408E-2</v>
      </c>
      <c r="BI68" s="546">
        <f t="shared" si="99"/>
        <v>4.3749999999999995E-3</v>
      </c>
      <c r="BJ68" s="546">
        <f t="shared" si="100"/>
        <v>2.2996093750000002E-2</v>
      </c>
      <c r="BK68">
        <f t="shared" si="101"/>
        <v>3.48E-3</v>
      </c>
      <c r="BL68" s="546">
        <f t="shared" si="102"/>
        <v>9.1437902546570679E-2</v>
      </c>
      <c r="BM68" s="472">
        <f t="shared" si="56"/>
        <v>91.437902546570683</v>
      </c>
      <c r="BN68" s="546">
        <f t="shared" si="103"/>
        <v>2.0789999999999999E-2</v>
      </c>
      <c r="BO68" s="546"/>
      <c r="BQ68" s="472">
        <f t="shared" si="57"/>
        <v>20.79</v>
      </c>
      <c r="BR68" s="546">
        <f t="shared" si="104"/>
        <v>9.1153132029123136E-3</v>
      </c>
      <c r="BS68" s="546">
        <f t="shared" si="105"/>
        <v>5.2228726873452484E-3</v>
      </c>
      <c r="BT68" s="546">
        <f t="shared" si="106"/>
        <v>1.6783090918173479E-2</v>
      </c>
      <c r="BU68" s="546">
        <f t="shared" si="107"/>
        <v>3.1157015614964881E-2</v>
      </c>
      <c r="BV68" s="546">
        <f t="shared" si="108"/>
        <v>1.3925963045912657E-2</v>
      </c>
      <c r="BW68" s="472">
        <f t="shared" si="58"/>
        <v>45.082978660877536</v>
      </c>
      <c r="BX68" s="179">
        <f t="shared" si="59"/>
        <v>0.15731088120744821</v>
      </c>
      <c r="BY68" s="6">
        <f t="shared" si="60"/>
        <v>1.6632</v>
      </c>
      <c r="BZ68" s="179">
        <f t="shared" si="61"/>
        <v>0.91358970559785269</v>
      </c>
      <c r="CA68" s="6">
        <f t="shared" si="62"/>
        <v>91.358970559785263</v>
      </c>
      <c r="CD68" s="581">
        <f t="shared" si="109"/>
        <v>-50</v>
      </c>
      <c r="CE68">
        <f t="shared" si="110"/>
        <v>-50</v>
      </c>
    </row>
    <row r="69" spans="5:83" x14ac:dyDescent="0.2">
      <c r="E69" s="176">
        <v>64</v>
      </c>
      <c r="F69" s="223">
        <f t="shared" si="111"/>
        <v>7.0400000000000004E-2</v>
      </c>
      <c r="G69" s="223"/>
      <c r="H69" s="223">
        <f t="shared" ref="H69:H100" si="113">F69*Vout</f>
        <v>1.6896</v>
      </c>
      <c r="I69" s="559">
        <f t="shared" ref="I69:I105" si="114">Vin</f>
        <v>12</v>
      </c>
      <c r="J69" s="178">
        <f t="shared" ref="J69:J105" si="115">(T69+Vfwd1)*Nps</f>
        <v>24.25</v>
      </c>
      <c r="K69" s="454">
        <f t="shared" ref="K69:K105" si="116">(Vout+Vfwd1)*Nps+I69</f>
        <v>36.25</v>
      </c>
      <c r="L69" s="454"/>
      <c r="M69" s="223">
        <f t="shared" ref="M69:M105" si="117">(Vout+Vfwd1)*Nps/((Vout+Vfwd1)*Nps+I69)</f>
        <v>0.66896551724137931</v>
      </c>
      <c r="N69" s="178">
        <f t="shared" ref="N69:N105" si="118">M69*I69*Isw_max*0.5*Efficiency</f>
        <v>5.528999999999999</v>
      </c>
      <c r="O69" s="178">
        <f t="shared" si="49"/>
        <v>1.6896</v>
      </c>
      <c r="P69" s="223">
        <f t="shared" ref="P69:P100" si="119">N69/Vout</f>
        <v>0.23037499999999997</v>
      </c>
      <c r="Q69" s="223">
        <f t="shared" ref="Q69:Q105" si="120">MIN(Vout,N69/F69)</f>
        <v>24</v>
      </c>
      <c r="R69" s="223">
        <f t="shared" ref="R69:R100" si="121">Isw_max/2*I69*Nps*(Q69+Vfwd1)/Q69/(I69+Nps*(Q69+Vfwd1))</f>
        <v>0.24250000000000002</v>
      </c>
      <c r="S69" s="178">
        <f t="shared" ref="S69:S105" si="122">(SQRT(Isw_max^2*Nps^2*I69^2+4*Isw_max*F69/Efficiency*(Nps^2*Vfwd1*I69-Nps*I69^2)+4*(F69/Efficiency)^2*Nps^2*Vfwd1^2+8*(F69/Efficiency)^2*Nps*Vfwd1*I69+4*(F69/Efficiency)^2*I69^2)-2*F69/Efficiency*I69-2*F69/Efficiency*Nps*Vfwd1+Isw_max*Nps*I69)/(4*F69/Efficiency*Nps)</f>
        <v>105.42895604740849</v>
      </c>
      <c r="T69" s="178">
        <f t="shared" ref="T69:T100" si="123">MIN(Vout, S69)</f>
        <v>24</v>
      </c>
      <c r="U69" s="223">
        <f t="shared" ref="U69:U105" si="124">MIN(2*Vout*F69/(Efficiency*I69*M69), Isw_max)</f>
        <v>0.44310363537710257</v>
      </c>
      <c r="V69" s="223">
        <f t="shared" ref="V69:V100" si="125">L*U69/I69*1000000</f>
        <v>1.7354892385603182</v>
      </c>
      <c r="W69" s="223">
        <f t="shared" ref="W69:W105" si="126">L*U69/J69*1000000</f>
        <v>0.85879879846283802</v>
      </c>
      <c r="X69" s="203">
        <f t="shared" ref="X69:X105" si="127">IF(1/((350000*L)*(1/I69+1/J69))&gt;Isw_min, 350, 0.001/((Isw_min*L)*(1/I69+1/J69)))</f>
        <v>350</v>
      </c>
      <c r="Y69" s="454">
        <f t="shared" si="50"/>
        <v>350</v>
      </c>
      <c r="AA69" s="223">
        <f t="shared" ref="AA69:AA105" si="128">1/((X69*1000*L)*(1/I69+1/J69))</f>
        <v>0.48799916151346817</v>
      </c>
      <c r="AB69" s="179">
        <f t="shared" ref="AB69:AB100" si="129">L*AA69/J69*1000000</f>
        <v>0.94581280788177335</v>
      </c>
      <c r="AC69" s="179">
        <f t="shared" ref="AC69:AC100" si="130">0.5*AB69*AA69*Nps*X69/1000</f>
        <v>8.077227500912576E-2</v>
      </c>
      <c r="AD69" s="179"/>
      <c r="AE69" s="179">
        <f t="shared" ref="AE69:AE105" si="131">L*Isw_min/J69*1000000</f>
        <v>0.56206185567010303</v>
      </c>
      <c r="AF69" s="563">
        <f t="shared" si="112"/>
        <v>863.81460773648416</v>
      </c>
      <c r="AG69" s="546">
        <f t="shared" ref="AG69:AG105" si="132">0.5*AE69/1000000*Isw_min*Nps*X69*1000</f>
        <v>2.8524639175257726E-2</v>
      </c>
      <c r="AI69" s="179">
        <f t="shared" ref="AI69:AI105" si="133">SQRT(F69/Efficiency/(0.5*L/J69*Fsw_DCM*Nps))</f>
        <v>0.46742554715939316</v>
      </c>
      <c r="AJ69" s="179">
        <f t="shared" ref="AJ69:AJ100" si="134">MAX(IF(F69&gt;AC69,U69,AI69),Isw_min)</f>
        <v>0.46742554715939316</v>
      </c>
      <c r="AK69" s="179">
        <f t="shared" ref="AK69:AK100" si="135">IF(F69&gt;AG69, (AJ69-Isw_min)/1.08*0.8+1.2, AF69*0.2/350+1)</f>
        <v>1.3314263312291801</v>
      </c>
      <c r="AM69" s="563">
        <f t="shared" ref="AM69:AM105" si="136">F69*1000</f>
        <v>70.400000000000006</v>
      </c>
      <c r="AN69" s="472">
        <f t="shared" ref="AN69:AN105" si="137">IF(F69&gt;AG69, Y69, AF69)</f>
        <v>350</v>
      </c>
      <c r="AP69">
        <f t="shared" ref="AP69:AP105" si="138">IF(H69&gt;N69, "",AM69)</f>
        <v>70.400000000000006</v>
      </c>
      <c r="AQ69">
        <f t="shared" ref="AQ69:AQ105" si="139">IF(H69&gt;N69, "",AN69)</f>
        <v>350</v>
      </c>
      <c r="AS69" s="6">
        <f t="shared" si="51"/>
        <v>2.8571428571428572</v>
      </c>
      <c r="AT69" s="6">
        <f t="shared" ref="AT69:AT105" si="140">L*AJ69/I69*1000000</f>
        <v>1.8307500597076232</v>
      </c>
      <c r="AU69" s="6">
        <f t="shared" si="52"/>
        <v>1.026392797435234</v>
      </c>
      <c r="AV69" s="6">
        <f t="shared" ref="AV69:AV105" si="141">L*AJ69/J69*1000000</f>
        <v>0.90593817387593722</v>
      </c>
      <c r="AW69" s="179">
        <f t="shared" si="53"/>
        <v>0.64076252089766805</v>
      </c>
      <c r="AX69" s="179">
        <f t="shared" ref="AX69:AX132" si="142">0.5*L*AJ69^2*AN69*1000</f>
        <v>1.7970526315789477</v>
      </c>
      <c r="AY69" s="179">
        <f t="shared" ref="AY69:AY132" si="143">AJ69*Nps/2*(1-AW69)</f>
        <v>8.3958387614784288E-2</v>
      </c>
      <c r="AZ69" s="179">
        <f t="shared" si="54"/>
        <v>21.404086984425408</v>
      </c>
      <c r="BA69" s="472">
        <f t="shared" ref="BA69:BA105" si="144">F69*AT69/Vout_ripple*1000</f>
        <v>0.53702001751423623</v>
      </c>
      <c r="BB69" s="6">
        <f t="shared" ref="BB69:BB105" si="145">H69/Efficiency/I69*AU69/Vinripple1</f>
        <v>0.25353702785768584</v>
      </c>
      <c r="BC69" s="6"/>
      <c r="BD69" s="179">
        <f t="shared" si="55"/>
        <v>0.21602318671717946</v>
      </c>
      <c r="BE69" s="179">
        <f t="shared" ref="BE69:BE132" si="146">AJ69*Nps*SQRT((1-AW69)/3)</f>
        <v>0.16174938489210391</v>
      </c>
      <c r="BF69" s="179"/>
      <c r="BG69" s="546">
        <f t="shared" ref="BG69:BG105" si="147">Rdson*BD69^2</f>
        <v>1.6333106019805883E-2</v>
      </c>
      <c r="BH69" s="546">
        <f t="shared" ref="BH69:BH105" si="148">0.5*K69*AJ69*AN69*1000*Trise</f>
        <v>4.4478462221885999E-2</v>
      </c>
      <c r="BI69" s="546">
        <f t="shared" ref="BI69:BI105" si="149">Qg*Vdd*AN69*1000</f>
        <v>4.3749999999999995E-3</v>
      </c>
      <c r="BJ69" s="546">
        <f t="shared" ref="BJ69:BJ105" si="150">0.5*(Coss+Csw)*K69^2*AN69*1000</f>
        <v>2.2996093750000002E-2</v>
      </c>
      <c r="BK69">
        <f t="shared" ref="BK69:BK105" si="151">I69*IQ</f>
        <v>3.48E-3</v>
      </c>
      <c r="BL69" s="546">
        <f t="shared" ref="BL69:BL100" si="152">(BH69+BI69+BJ69+BK69+BG69*(1+RdsonTC*(Ta-25)))/(1-BG69*RdsonTC*ThetaJA)</f>
        <v>9.2184372185251759E-2</v>
      </c>
      <c r="BM69" s="472">
        <f t="shared" si="56"/>
        <v>92.18437218525176</v>
      </c>
      <c r="BN69" s="546">
        <f t="shared" ref="BN69:BN105" si="153">Vfwd2*F69*(1+Diode_TC/1000*(Ta-25))</f>
        <v>2.112E-2</v>
      </c>
      <c r="BO69" s="546"/>
      <c r="BQ69" s="472">
        <f t="shared" si="57"/>
        <v>21.12</v>
      </c>
      <c r="BR69" s="546">
        <f t="shared" ref="BR69:BR105" si="154">Rdcr_pri*BD69^2</f>
        <v>9.3332034398890765E-3</v>
      </c>
      <c r="BS69" s="546">
        <f t="shared" ref="BS69:BS105" si="155">Rdcr_sec*BE69^2</f>
        <v>5.2325727025947953E-3</v>
      </c>
      <c r="BT69" s="546">
        <f t="shared" ref="BT69:BT105" si="156">AJ69^2.5*AN69^2.5*k_core</f>
        <v>1.7116746860027912E-2</v>
      </c>
      <c r="BU69" s="546">
        <f t="shared" ref="BU69:BU100" si="157">(BT69+(BR69+BS69)*(1+Ltc*(Ta-25)))/(1-(BR69+BS69)*Ltc*ThetaCa)</f>
        <v>3.1719484515376262E-2</v>
      </c>
      <c r="BV69" s="546">
        <f t="shared" ref="BV69:BV105" si="158">0.5*Lleak*0.000000001*AJ69^2*AN69*1000</f>
        <v>1.4147010078387461E-2</v>
      </c>
      <c r="BW69" s="472">
        <f t="shared" si="58"/>
        <v>45.866494593763726</v>
      </c>
      <c r="BX69" s="179">
        <f t="shared" si="59"/>
        <v>0.15917086677901546</v>
      </c>
      <c r="BY69" s="6">
        <f t="shared" si="60"/>
        <v>1.6896</v>
      </c>
      <c r="BZ69" s="179">
        <f t="shared" si="61"/>
        <v>0.91390449209299374</v>
      </c>
      <c r="CA69" s="6">
        <f t="shared" si="62"/>
        <v>91.390449209299376</v>
      </c>
      <c r="CD69" s="581">
        <f t="shared" ref="CD69:CD105" si="159">IF(ABS(F69-Ioutmax_Vinnom)&lt;Iout/200, AN69, -50)</f>
        <v>-50</v>
      </c>
      <c r="CE69">
        <f t="shared" ref="CE69:CE105" si="160">IF(ABS(F69-Ioutmax_Vinnom)&lt;Iout/200, N69*BZ69, -50)</f>
        <v>-50</v>
      </c>
    </row>
    <row r="70" spans="5:83" x14ac:dyDescent="0.2">
      <c r="E70" s="176">
        <v>65</v>
      </c>
      <c r="F70" s="223">
        <f t="shared" ref="F70:F101" si="161">IF(PLOT_TYPE=1, E70/100*Iout_max, min_I*EXP(N70*rr/100))</f>
        <v>7.1500000000000008E-2</v>
      </c>
      <c r="G70" s="223"/>
      <c r="H70" s="223">
        <f t="shared" si="113"/>
        <v>1.7160000000000002</v>
      </c>
      <c r="I70" s="559">
        <f t="shared" si="114"/>
        <v>12</v>
      </c>
      <c r="J70" s="178">
        <f t="shared" si="115"/>
        <v>24.25</v>
      </c>
      <c r="K70" s="454">
        <f t="shared" si="116"/>
        <v>36.25</v>
      </c>
      <c r="L70" s="454"/>
      <c r="M70" s="223">
        <f t="shared" si="117"/>
        <v>0.66896551724137931</v>
      </c>
      <c r="N70" s="178">
        <f t="shared" si="118"/>
        <v>5.528999999999999</v>
      </c>
      <c r="O70" s="178">
        <f t="shared" ref="O70:O133" si="162">T70*F70</f>
        <v>1.7160000000000002</v>
      </c>
      <c r="P70" s="223">
        <f t="shared" si="119"/>
        <v>0.23037499999999997</v>
      </c>
      <c r="Q70" s="223">
        <f t="shared" si="120"/>
        <v>24</v>
      </c>
      <c r="R70" s="223">
        <f t="shared" si="121"/>
        <v>0.24250000000000002</v>
      </c>
      <c r="S70" s="178">
        <f t="shared" si="122"/>
        <v>103.62328693713054</v>
      </c>
      <c r="T70" s="178">
        <f t="shared" si="123"/>
        <v>24</v>
      </c>
      <c r="U70" s="223">
        <f t="shared" si="124"/>
        <v>0.45002712967986985</v>
      </c>
      <c r="V70" s="223">
        <f t="shared" si="125"/>
        <v>1.7626062579128234</v>
      </c>
      <c r="W70" s="223">
        <f t="shared" si="126"/>
        <v>0.87221752968881983</v>
      </c>
      <c r="X70" s="203">
        <f t="shared" si="127"/>
        <v>350</v>
      </c>
      <c r="Y70" s="454">
        <f t="shared" ref="Y70:Y105" si="163">MIN(1/(V70+W70)*1000, 350)</f>
        <v>350</v>
      </c>
      <c r="AA70" s="223">
        <f t="shared" si="128"/>
        <v>0.48799916151346817</v>
      </c>
      <c r="AB70" s="179">
        <f t="shared" si="129"/>
        <v>0.94581280788177335</v>
      </c>
      <c r="AC70" s="179">
        <f t="shared" si="130"/>
        <v>8.077227500912576E-2</v>
      </c>
      <c r="AD70" s="179"/>
      <c r="AE70" s="179">
        <f t="shared" si="131"/>
        <v>0.56206185567010303</v>
      </c>
      <c r="AF70" s="563">
        <f t="shared" si="112"/>
        <v>877.31171098236678</v>
      </c>
      <c r="AG70" s="546">
        <f t="shared" si="132"/>
        <v>2.8524639175257726E-2</v>
      </c>
      <c r="AI70" s="179">
        <f t="shared" si="133"/>
        <v>0.47106315491731332</v>
      </c>
      <c r="AJ70" s="179">
        <f t="shared" si="134"/>
        <v>0.47106315491731332</v>
      </c>
      <c r="AK70" s="179">
        <f t="shared" si="135"/>
        <v>1.334120855494306</v>
      </c>
      <c r="AM70" s="563">
        <f t="shared" si="136"/>
        <v>71.500000000000014</v>
      </c>
      <c r="AN70" s="472">
        <f t="shared" si="137"/>
        <v>350</v>
      </c>
      <c r="AP70">
        <f t="shared" si="138"/>
        <v>71.500000000000014</v>
      </c>
      <c r="AQ70">
        <f t="shared" si="139"/>
        <v>350</v>
      </c>
      <c r="AS70" s="6">
        <f t="shared" ref="AS70:AS133" si="164">1/AN70*1000</f>
        <v>2.8571428571428572</v>
      </c>
      <c r="AT70" s="6">
        <f t="shared" si="140"/>
        <v>1.8449973567594771</v>
      </c>
      <c r="AU70" s="6">
        <f t="shared" ref="AU70:AU105" si="165">AS70-AT70</f>
        <v>1.0121455003833801</v>
      </c>
      <c r="AV70" s="6">
        <f t="shared" si="141"/>
        <v>0.9129883827263392</v>
      </c>
      <c r="AW70" s="179">
        <f t="shared" ref="AW70:AW105" si="166">AT70/AS70</f>
        <v>0.64574907486581701</v>
      </c>
      <c r="AX70" s="179">
        <f t="shared" si="142"/>
        <v>1.8251315789473683</v>
      </c>
      <c r="AY70" s="179">
        <f t="shared" si="143"/>
        <v>8.3437279213042601E-2</v>
      </c>
      <c r="AZ70" s="179">
        <f t="shared" ref="AZ70:AZ133" si="167">AX70/AY70</f>
        <v>21.874294034531157</v>
      </c>
      <c r="BA70" s="472">
        <f t="shared" si="144"/>
        <v>0.54965546253459419</v>
      </c>
      <c r="BB70" s="6">
        <f t="shared" si="145"/>
        <v>0.2539242220260059</v>
      </c>
      <c r="BC70" s="6"/>
      <c r="BD70" s="179">
        <f t="shared" ref="BD70:BD133" si="168">AJ70*SQRT(AW70/3)</f>
        <v>0.21854979596804897</v>
      </c>
      <c r="BE70" s="179">
        <f t="shared" si="146"/>
        <v>0.16187284718529873</v>
      </c>
      <c r="BF70" s="179"/>
      <c r="BG70" s="546">
        <f t="shared" si="147"/>
        <v>1.6717404661186541E-2</v>
      </c>
      <c r="BH70" s="546">
        <f t="shared" si="148"/>
        <v>4.4824603335100584E-2</v>
      </c>
      <c r="BI70" s="546">
        <f t="shared" si="149"/>
        <v>4.3749999999999995E-3</v>
      </c>
      <c r="BJ70" s="546">
        <f t="shared" si="150"/>
        <v>2.2996093750000002E-2</v>
      </c>
      <c r="BK70">
        <f t="shared" si="151"/>
        <v>3.48E-3</v>
      </c>
      <c r="BL70" s="546">
        <f t="shared" si="152"/>
        <v>9.2931414465547327E-2</v>
      </c>
      <c r="BM70" s="472">
        <f t="shared" ref="BM70:BM105" si="169">BL70*1000</f>
        <v>92.93141446554732</v>
      </c>
      <c r="BN70" s="546">
        <f t="shared" si="153"/>
        <v>2.145E-2</v>
      </c>
      <c r="BO70" s="546"/>
      <c r="BQ70" s="472">
        <f t="shared" ref="BQ70:BQ105" si="170">SUM(BN70:BP70)*1000</f>
        <v>21.45</v>
      </c>
      <c r="BR70" s="546">
        <f t="shared" si="154"/>
        <v>9.5528026635351669E-3</v>
      </c>
      <c r="BS70" s="546">
        <f t="shared" si="155"/>
        <v>5.2405637311750157E-3</v>
      </c>
      <c r="BT70" s="546">
        <f t="shared" si="156"/>
        <v>1.7451708740905528E-2</v>
      </c>
      <c r="BU70" s="546">
        <f t="shared" si="157"/>
        <v>3.2283281408439599E-2</v>
      </c>
      <c r="BV70" s="546">
        <f t="shared" si="158"/>
        <v>1.4368057110862266E-2</v>
      </c>
      <c r="BW70" s="472">
        <f t="shared" ref="BW70:BW105" si="171">1000*(BU70+BV70)</f>
        <v>46.651338519301866</v>
      </c>
      <c r="BX70" s="179">
        <f t="shared" ref="BX70:BX105" si="172">SUM(BL70,BN70:BP70,BU70, BV70)</f>
        <v>0.16103275298484918</v>
      </c>
      <c r="BY70" s="6">
        <f t="shared" ref="BY70:BY105" si="173">MIN(H70,O70)</f>
        <v>1.7160000000000002</v>
      </c>
      <c r="BZ70" s="179">
        <f t="shared" ref="BZ70:BZ105" si="174">BY70/(BY70+BX70)</f>
        <v>0.91420887423047059</v>
      </c>
      <c r="CA70" s="6">
        <f t="shared" ref="CA70:CA105" si="175">BZ70*100</f>
        <v>91.420887423047063</v>
      </c>
      <c r="CD70" s="581">
        <f t="shared" si="159"/>
        <v>-50</v>
      </c>
      <c r="CE70">
        <f t="shared" si="160"/>
        <v>-50</v>
      </c>
    </row>
    <row r="71" spans="5:83" x14ac:dyDescent="0.2">
      <c r="E71" s="176">
        <v>66</v>
      </c>
      <c r="F71" s="223">
        <f t="shared" si="161"/>
        <v>7.2599999999999998E-2</v>
      </c>
      <c r="G71" s="223"/>
      <c r="H71" s="223">
        <f t="shared" si="113"/>
        <v>1.7423999999999999</v>
      </c>
      <c r="I71" s="559">
        <f t="shared" si="114"/>
        <v>12</v>
      </c>
      <c r="J71" s="178">
        <f t="shared" si="115"/>
        <v>24.25</v>
      </c>
      <c r="K71" s="454">
        <f t="shared" si="116"/>
        <v>36.25</v>
      </c>
      <c r="L71" s="454"/>
      <c r="M71" s="223">
        <f t="shared" si="117"/>
        <v>0.66896551724137931</v>
      </c>
      <c r="N71" s="178">
        <f t="shared" si="118"/>
        <v>5.528999999999999</v>
      </c>
      <c r="O71" s="178">
        <f t="shared" si="162"/>
        <v>1.7423999999999999</v>
      </c>
      <c r="P71" s="223">
        <f t="shared" si="119"/>
        <v>0.23037499999999997</v>
      </c>
      <c r="Q71" s="223">
        <f t="shared" si="120"/>
        <v>24</v>
      </c>
      <c r="R71" s="223">
        <f t="shared" si="121"/>
        <v>0.24250000000000002</v>
      </c>
      <c r="S71" s="178">
        <f t="shared" si="122"/>
        <v>101.87235173338635</v>
      </c>
      <c r="T71" s="178">
        <f t="shared" si="123"/>
        <v>24</v>
      </c>
      <c r="U71" s="223">
        <f t="shared" si="124"/>
        <v>0.45695062398263703</v>
      </c>
      <c r="V71" s="223">
        <f t="shared" si="125"/>
        <v>1.7897232772653282</v>
      </c>
      <c r="W71" s="223">
        <f t="shared" si="126"/>
        <v>0.88563626091480163</v>
      </c>
      <c r="X71" s="203">
        <f t="shared" si="127"/>
        <v>350</v>
      </c>
      <c r="Y71" s="454">
        <f t="shared" si="163"/>
        <v>350</v>
      </c>
      <c r="AA71" s="223">
        <f t="shared" si="128"/>
        <v>0.48799916151346817</v>
      </c>
      <c r="AB71" s="179">
        <f t="shared" si="129"/>
        <v>0.94581280788177335</v>
      </c>
      <c r="AC71" s="179">
        <f t="shared" si="130"/>
        <v>8.077227500912576E-2</v>
      </c>
      <c r="AD71" s="179"/>
      <c r="AE71" s="179">
        <f t="shared" si="131"/>
        <v>0.56206185567010303</v>
      </c>
      <c r="AF71" s="563">
        <f t="shared" si="112"/>
        <v>890.80881422824928</v>
      </c>
      <c r="AG71" s="546">
        <f t="shared" si="132"/>
        <v>2.8524639175257726E-2</v>
      </c>
      <c r="AI71" s="179">
        <f t="shared" si="133"/>
        <v>0.4746728870538609</v>
      </c>
      <c r="AJ71" s="179">
        <f t="shared" si="134"/>
        <v>0.4746728870538609</v>
      </c>
      <c r="AK71" s="179">
        <f t="shared" si="135"/>
        <v>1.336794731151008</v>
      </c>
      <c r="AM71" s="563">
        <f t="shared" si="136"/>
        <v>72.599999999999994</v>
      </c>
      <c r="AN71" s="472">
        <f t="shared" si="137"/>
        <v>350</v>
      </c>
      <c r="AP71">
        <f t="shared" si="138"/>
        <v>72.599999999999994</v>
      </c>
      <c r="AQ71">
        <f t="shared" si="139"/>
        <v>350</v>
      </c>
      <c r="AS71" s="6">
        <f t="shared" si="164"/>
        <v>2.8571428571428572</v>
      </c>
      <c r="AT71" s="6">
        <f t="shared" si="140"/>
        <v>1.8591354742942883</v>
      </c>
      <c r="AU71" s="6">
        <f t="shared" si="165"/>
        <v>0.99800738284856894</v>
      </c>
      <c r="AV71" s="6">
        <f t="shared" si="141"/>
        <v>0.9199845645992355</v>
      </c>
      <c r="AW71" s="179">
        <f t="shared" si="166"/>
        <v>0.65069741600300091</v>
      </c>
      <c r="AX71" s="179">
        <f t="shared" si="142"/>
        <v>1.8532105263157899</v>
      </c>
      <c r="AY71" s="179">
        <f t="shared" si="143"/>
        <v>8.2902233000614653E-2</v>
      </c>
      <c r="AZ71" s="179">
        <f t="shared" si="167"/>
        <v>22.354168992071056</v>
      </c>
      <c r="BA71" s="472">
        <f t="shared" si="144"/>
        <v>0.56238848097402216</v>
      </c>
      <c r="BB71" s="6">
        <f t="shared" si="145"/>
        <v>0.25422924910458278</v>
      </c>
      <c r="BC71" s="6"/>
      <c r="BD71" s="179">
        <f t="shared" si="168"/>
        <v>0.22106670572538367</v>
      </c>
      <c r="BE71" s="179">
        <f t="shared" si="146"/>
        <v>0.16197004307713533</v>
      </c>
      <c r="BF71" s="179"/>
      <c r="BG71" s="546">
        <f t="shared" si="147"/>
        <v>1.7104670933095683E-2</v>
      </c>
      <c r="BH71" s="546">
        <f t="shared" si="148"/>
        <v>4.5168091908718955E-2</v>
      </c>
      <c r="BI71" s="546">
        <f t="shared" si="149"/>
        <v>4.3749999999999995E-3</v>
      </c>
      <c r="BJ71" s="546">
        <f t="shared" si="150"/>
        <v>2.2996093750000002E-2</v>
      </c>
      <c r="BK71">
        <f t="shared" si="151"/>
        <v>3.48E-3</v>
      </c>
      <c r="BL71" s="546">
        <f t="shared" si="152"/>
        <v>9.3679070755446098E-2</v>
      </c>
      <c r="BM71" s="472">
        <f t="shared" si="169"/>
        <v>93.679070755446091</v>
      </c>
      <c r="BN71" s="546">
        <f t="shared" si="153"/>
        <v>2.1779999999999997E-2</v>
      </c>
      <c r="BO71" s="546"/>
      <c r="BQ71" s="472">
        <f t="shared" si="170"/>
        <v>21.779999999999998</v>
      </c>
      <c r="BR71" s="546">
        <f t="shared" si="154"/>
        <v>9.7740976760546765E-3</v>
      </c>
      <c r="BS71" s="546">
        <f t="shared" si="155"/>
        <v>5.246858970881816E-3</v>
      </c>
      <c r="BT71" s="546">
        <f t="shared" si="156"/>
        <v>1.7787961462061269E-2</v>
      </c>
      <c r="BU71" s="546">
        <f t="shared" si="157"/>
        <v>3.284839124986863E-2</v>
      </c>
      <c r="BV71" s="546">
        <f t="shared" si="158"/>
        <v>1.458910414333707E-2</v>
      </c>
      <c r="BW71" s="472">
        <f t="shared" si="171"/>
        <v>47.437495393205701</v>
      </c>
      <c r="BX71" s="179">
        <f t="shared" si="172"/>
        <v>0.16289656614865178</v>
      </c>
      <c r="BY71" s="6">
        <f t="shared" si="173"/>
        <v>1.7423999999999999</v>
      </c>
      <c r="BZ71" s="179">
        <f t="shared" si="174"/>
        <v>0.91450330145824521</v>
      </c>
      <c r="CA71" s="6">
        <f t="shared" si="175"/>
        <v>91.450330145824523</v>
      </c>
      <c r="CD71" s="581">
        <f t="shared" si="159"/>
        <v>-50</v>
      </c>
      <c r="CE71">
        <f t="shared" si="160"/>
        <v>-50</v>
      </c>
    </row>
    <row r="72" spans="5:83" x14ac:dyDescent="0.2">
      <c r="E72" s="176">
        <v>67</v>
      </c>
      <c r="F72" s="223">
        <f t="shared" si="161"/>
        <v>7.3700000000000002E-2</v>
      </c>
      <c r="G72" s="223"/>
      <c r="H72" s="223">
        <f t="shared" si="113"/>
        <v>1.7688000000000001</v>
      </c>
      <c r="I72" s="559">
        <f t="shared" si="114"/>
        <v>12</v>
      </c>
      <c r="J72" s="178">
        <f t="shared" si="115"/>
        <v>24.25</v>
      </c>
      <c r="K72" s="454">
        <f t="shared" si="116"/>
        <v>36.25</v>
      </c>
      <c r="L72" s="454"/>
      <c r="M72" s="223">
        <f t="shared" si="117"/>
        <v>0.66896551724137931</v>
      </c>
      <c r="N72" s="178">
        <f t="shared" si="118"/>
        <v>5.528999999999999</v>
      </c>
      <c r="O72" s="178">
        <f t="shared" si="162"/>
        <v>1.7688000000000001</v>
      </c>
      <c r="P72" s="223">
        <f t="shared" si="119"/>
        <v>0.23037499999999997</v>
      </c>
      <c r="Q72" s="223">
        <f t="shared" si="120"/>
        <v>24</v>
      </c>
      <c r="R72" s="223">
        <f t="shared" si="121"/>
        <v>0.24250000000000002</v>
      </c>
      <c r="S72" s="178">
        <f t="shared" si="122"/>
        <v>100.17369974929818</v>
      </c>
      <c r="T72" s="178">
        <f t="shared" si="123"/>
        <v>24</v>
      </c>
      <c r="U72" s="223">
        <f t="shared" si="124"/>
        <v>0.46387411828540431</v>
      </c>
      <c r="V72" s="223">
        <f t="shared" si="125"/>
        <v>1.8168402966178334</v>
      </c>
      <c r="W72" s="223">
        <f t="shared" si="126"/>
        <v>0.89905499214078355</v>
      </c>
      <c r="X72" s="203">
        <f t="shared" si="127"/>
        <v>350</v>
      </c>
      <c r="Y72" s="454">
        <f t="shared" si="163"/>
        <v>350</v>
      </c>
      <c r="AA72" s="223">
        <f t="shared" si="128"/>
        <v>0.48799916151346817</v>
      </c>
      <c r="AB72" s="179">
        <f t="shared" si="129"/>
        <v>0.94581280788177335</v>
      </c>
      <c r="AC72" s="179">
        <f t="shared" si="130"/>
        <v>8.077227500912576E-2</v>
      </c>
      <c r="AD72" s="179"/>
      <c r="AE72" s="179">
        <f t="shared" si="131"/>
        <v>0.56206185567010303</v>
      </c>
      <c r="AF72" s="563">
        <f t="shared" ref="AF72:AF103" si="176">MAX(10000,F72/(0.5*AE72/1000000*Isw_min*Nps))/1000</f>
        <v>904.30591747413177</v>
      </c>
      <c r="AG72" s="546">
        <f t="shared" si="132"/>
        <v>2.8524639175257726E-2</v>
      </c>
      <c r="AI72" s="179">
        <f t="shared" si="133"/>
        <v>0.47825537476064195</v>
      </c>
      <c r="AJ72" s="179">
        <f t="shared" si="134"/>
        <v>0.47825537476064195</v>
      </c>
      <c r="AK72" s="179">
        <f t="shared" si="135"/>
        <v>1.3394484257486237</v>
      </c>
      <c r="AM72" s="563">
        <f t="shared" si="136"/>
        <v>73.7</v>
      </c>
      <c r="AN72" s="472">
        <f t="shared" si="137"/>
        <v>350</v>
      </c>
      <c r="AP72">
        <f t="shared" si="138"/>
        <v>73.7</v>
      </c>
      <c r="AQ72">
        <f t="shared" si="139"/>
        <v>350</v>
      </c>
      <c r="AS72" s="6">
        <f t="shared" si="164"/>
        <v>2.8571428571428572</v>
      </c>
      <c r="AT72" s="6">
        <f t="shared" si="140"/>
        <v>1.8731668844791809</v>
      </c>
      <c r="AU72" s="6">
        <f t="shared" si="165"/>
        <v>0.98397597266367631</v>
      </c>
      <c r="AV72" s="6">
        <f t="shared" si="141"/>
        <v>0.92692794283505853</v>
      </c>
      <c r="AW72" s="179">
        <f t="shared" si="166"/>
        <v>0.65560840956771327</v>
      </c>
      <c r="AX72" s="179">
        <f t="shared" si="142"/>
        <v>1.881289473684211</v>
      </c>
      <c r="AY72" s="179">
        <f t="shared" si="143"/>
        <v>8.2353564573303395E-2</v>
      </c>
      <c r="AZ72" s="179">
        <f t="shared" si="167"/>
        <v>22.844056397943334</v>
      </c>
      <c r="BA72" s="472">
        <f t="shared" si="144"/>
        <v>0.57521833077548179</v>
      </c>
      <c r="BB72" s="6">
        <f t="shared" si="145"/>
        <v>0.25445273398355417</v>
      </c>
      <c r="BC72" s="6"/>
      <c r="BD72" s="179">
        <f t="shared" si="168"/>
        <v>0.22357409935834263</v>
      </c>
      <c r="BE72" s="179">
        <f t="shared" si="146"/>
        <v>0.16204121880533967</v>
      </c>
      <c r="BF72" s="179"/>
      <c r="BG72" s="546">
        <f t="shared" si="147"/>
        <v>1.7494882266362921E-2</v>
      </c>
      <c r="BH72" s="546">
        <f t="shared" si="148"/>
        <v>4.5508988004567326E-2</v>
      </c>
      <c r="BI72" s="546">
        <f t="shared" si="149"/>
        <v>4.3749999999999995E-3</v>
      </c>
      <c r="BJ72" s="546">
        <f t="shared" si="150"/>
        <v>2.2996093750000002E-2</v>
      </c>
      <c r="BK72">
        <f t="shared" si="151"/>
        <v>3.48E-3</v>
      </c>
      <c r="BL72" s="546">
        <f t="shared" si="152"/>
        <v>9.4427380602484498E-2</v>
      </c>
      <c r="BM72" s="472">
        <f t="shared" si="169"/>
        <v>94.427380602484504</v>
      </c>
      <c r="BN72" s="546">
        <f t="shared" si="153"/>
        <v>2.2110000000000001E-2</v>
      </c>
      <c r="BO72" s="546"/>
      <c r="BQ72" s="472">
        <f t="shared" si="170"/>
        <v>22.11</v>
      </c>
      <c r="BR72" s="546">
        <f t="shared" si="154"/>
        <v>9.9970755807788133E-3</v>
      </c>
      <c r="BS72" s="546">
        <f t="shared" si="155"/>
        <v>5.2514713183839934E-3</v>
      </c>
      <c r="BT72" s="546">
        <f t="shared" si="156"/>
        <v>1.8125490325903534E-2</v>
      </c>
      <c r="BU72" s="546">
        <f t="shared" si="157"/>
        <v>3.3414799395923532E-2</v>
      </c>
      <c r="BV72" s="546">
        <f t="shared" si="158"/>
        <v>1.4810151175811876E-2</v>
      </c>
      <c r="BW72" s="472">
        <f t="shared" si="171"/>
        <v>48.224950571735413</v>
      </c>
      <c r="BX72" s="179">
        <f t="shared" si="172"/>
        <v>0.16476233117421993</v>
      </c>
      <c r="BY72" s="6">
        <f t="shared" si="173"/>
        <v>1.7688000000000001</v>
      </c>
      <c r="BZ72" s="179">
        <f t="shared" si="174"/>
        <v>0.91478819766096575</v>
      </c>
      <c r="CA72" s="6">
        <f t="shared" si="175"/>
        <v>91.478819766096578</v>
      </c>
      <c r="CD72" s="581">
        <f t="shared" si="159"/>
        <v>-50</v>
      </c>
      <c r="CE72">
        <f t="shared" si="160"/>
        <v>-50</v>
      </c>
    </row>
    <row r="73" spans="5:83" x14ac:dyDescent="0.2">
      <c r="E73" s="176">
        <v>68</v>
      </c>
      <c r="F73" s="223">
        <f t="shared" si="161"/>
        <v>7.4800000000000005E-2</v>
      </c>
      <c r="G73" s="223"/>
      <c r="H73" s="223">
        <f t="shared" si="113"/>
        <v>1.7952000000000001</v>
      </c>
      <c r="I73" s="559">
        <f t="shared" si="114"/>
        <v>12</v>
      </c>
      <c r="J73" s="178">
        <f t="shared" si="115"/>
        <v>24.25</v>
      </c>
      <c r="K73" s="454">
        <f t="shared" si="116"/>
        <v>36.25</v>
      </c>
      <c r="L73" s="454"/>
      <c r="M73" s="223">
        <f t="shared" si="117"/>
        <v>0.66896551724137931</v>
      </c>
      <c r="N73" s="178">
        <f t="shared" si="118"/>
        <v>5.528999999999999</v>
      </c>
      <c r="O73" s="178">
        <f t="shared" si="162"/>
        <v>1.7952000000000001</v>
      </c>
      <c r="P73" s="223">
        <f t="shared" si="119"/>
        <v>0.23037499999999997</v>
      </c>
      <c r="Q73" s="223">
        <f t="shared" si="120"/>
        <v>24</v>
      </c>
      <c r="R73" s="223">
        <f t="shared" si="121"/>
        <v>0.24250000000000002</v>
      </c>
      <c r="S73" s="178">
        <f t="shared" si="122"/>
        <v>98.525024456603916</v>
      </c>
      <c r="T73" s="178">
        <f t="shared" si="123"/>
        <v>24</v>
      </c>
      <c r="U73" s="223">
        <f t="shared" si="124"/>
        <v>0.47079761258817154</v>
      </c>
      <c r="V73" s="223">
        <f t="shared" si="125"/>
        <v>1.8439573159703386</v>
      </c>
      <c r="W73" s="223">
        <f t="shared" si="126"/>
        <v>0.91247372336676547</v>
      </c>
      <c r="X73" s="203">
        <f t="shared" si="127"/>
        <v>350</v>
      </c>
      <c r="Y73" s="454">
        <f t="shared" si="163"/>
        <v>350</v>
      </c>
      <c r="AA73" s="223">
        <f t="shared" si="128"/>
        <v>0.48799916151346817</v>
      </c>
      <c r="AB73" s="179">
        <f t="shared" si="129"/>
        <v>0.94581280788177335</v>
      </c>
      <c r="AC73" s="179">
        <f t="shared" si="130"/>
        <v>8.077227500912576E-2</v>
      </c>
      <c r="AD73" s="179"/>
      <c r="AE73" s="179">
        <f t="shared" si="131"/>
        <v>0.56206185567010303</v>
      </c>
      <c r="AF73" s="563">
        <f t="shared" si="176"/>
        <v>917.8030207200145</v>
      </c>
      <c r="AG73" s="546">
        <f t="shared" si="132"/>
        <v>2.8524639175257726E-2</v>
      </c>
      <c r="AI73" s="179">
        <f t="shared" si="133"/>
        <v>0.48181122576257673</v>
      </c>
      <c r="AJ73" s="179">
        <f t="shared" si="134"/>
        <v>0.48181122576257673</v>
      </c>
      <c r="AK73" s="179">
        <f t="shared" si="135"/>
        <v>1.3420823894537606</v>
      </c>
      <c r="AM73" s="563">
        <f t="shared" si="136"/>
        <v>74.800000000000011</v>
      </c>
      <c r="AN73" s="472">
        <f t="shared" si="137"/>
        <v>350</v>
      </c>
      <c r="AP73">
        <f t="shared" si="138"/>
        <v>74.800000000000011</v>
      </c>
      <c r="AQ73">
        <f t="shared" si="139"/>
        <v>350</v>
      </c>
      <c r="AS73" s="6">
        <f t="shared" si="164"/>
        <v>2.8571428571428572</v>
      </c>
      <c r="AT73" s="6">
        <f t="shared" si="140"/>
        <v>1.887093967570092</v>
      </c>
      <c r="AU73" s="6">
        <f t="shared" si="165"/>
        <v>0.97004888957276525</v>
      </c>
      <c r="AV73" s="6">
        <f t="shared" si="141"/>
        <v>0.93381969529241671</v>
      </c>
      <c r="AW73" s="179">
        <f t="shared" si="166"/>
        <v>0.6604828886495322</v>
      </c>
      <c r="AX73" s="179">
        <f t="shared" si="142"/>
        <v>1.9093684210526316</v>
      </c>
      <c r="AY73" s="179">
        <f t="shared" si="143"/>
        <v>8.1791577793569076E-2</v>
      </c>
      <c r="AZ73" s="179">
        <f t="shared" si="167"/>
        <v>23.344315790943906</v>
      </c>
      <c r="BA73" s="472">
        <f t="shared" si="144"/>
        <v>0.58814428655934547</v>
      </c>
      <c r="BB73" s="6">
        <f t="shared" si="145"/>
        <v>0.2545952875089223</v>
      </c>
      <c r="BC73" s="6"/>
      <c r="BD73" s="179">
        <f t="shared" si="168"/>
        <v>0.22607215408897471</v>
      </c>
      <c r="BE73" s="179">
        <f t="shared" si="146"/>
        <v>0.16208660309389067</v>
      </c>
      <c r="BF73" s="179"/>
      <c r="BG73" s="546">
        <f t="shared" si="147"/>
        <v>1.7888016599050195E-2</v>
      </c>
      <c r="BH73" s="546">
        <f t="shared" si="148"/>
        <v>4.584734945147019E-2</v>
      </c>
      <c r="BI73" s="546">
        <f t="shared" si="149"/>
        <v>4.3749999999999995E-3</v>
      </c>
      <c r="BJ73" s="546">
        <f t="shared" si="150"/>
        <v>2.2996093750000002E-2</v>
      </c>
      <c r="BK73">
        <f t="shared" si="151"/>
        <v>3.48E-3</v>
      </c>
      <c r="BL73" s="546">
        <f t="shared" si="152"/>
        <v>9.5176381836421547E-2</v>
      </c>
      <c r="BM73" s="472">
        <f t="shared" si="169"/>
        <v>95.176381836421541</v>
      </c>
      <c r="BN73" s="546">
        <f t="shared" si="153"/>
        <v>2.2440000000000002E-2</v>
      </c>
      <c r="BO73" s="546"/>
      <c r="BQ73" s="472">
        <f t="shared" si="170"/>
        <v>22.44</v>
      </c>
      <c r="BR73" s="546">
        <f t="shared" si="154"/>
        <v>1.0221723770885826E-2</v>
      </c>
      <c r="BS73" s="546">
        <f t="shared" si="155"/>
        <v>5.2544133805032898E-3</v>
      </c>
      <c r="BT73" s="546">
        <f t="shared" si="156"/>
        <v>1.8464281019495554E-2</v>
      </c>
      <c r="BU73" s="546">
        <f t="shared" si="157"/>
        <v>3.3982491586928287E-2</v>
      </c>
      <c r="BV73" s="546">
        <f t="shared" si="158"/>
        <v>1.5031198208286677E-2</v>
      </c>
      <c r="BW73" s="472">
        <f t="shared" si="171"/>
        <v>49.013689795214965</v>
      </c>
      <c r="BX73" s="179">
        <f t="shared" si="172"/>
        <v>0.16663007163163651</v>
      </c>
      <c r="BY73" s="6">
        <f t="shared" si="173"/>
        <v>1.7952000000000001</v>
      </c>
      <c r="BZ73" s="179">
        <f t="shared" si="174"/>
        <v>0.91506396295931391</v>
      </c>
      <c r="CA73" s="6">
        <f t="shared" si="175"/>
        <v>91.506396295931395</v>
      </c>
      <c r="CD73" s="581">
        <f t="shared" si="159"/>
        <v>-50</v>
      </c>
      <c r="CE73">
        <f t="shared" si="160"/>
        <v>-50</v>
      </c>
    </row>
    <row r="74" spans="5:83" x14ac:dyDescent="0.2">
      <c r="E74" s="176">
        <v>69</v>
      </c>
      <c r="F74" s="223">
        <f t="shared" si="161"/>
        <v>7.5899999999999995E-2</v>
      </c>
      <c r="G74" s="223"/>
      <c r="H74" s="223">
        <f t="shared" si="113"/>
        <v>1.8215999999999999</v>
      </c>
      <c r="I74" s="559">
        <f t="shared" si="114"/>
        <v>12</v>
      </c>
      <c r="J74" s="178">
        <f t="shared" si="115"/>
        <v>24.25</v>
      </c>
      <c r="K74" s="454">
        <f t="shared" si="116"/>
        <v>36.25</v>
      </c>
      <c r="L74" s="454"/>
      <c r="M74" s="223">
        <f t="shared" si="117"/>
        <v>0.66896551724137931</v>
      </c>
      <c r="N74" s="178">
        <f t="shared" si="118"/>
        <v>5.528999999999999</v>
      </c>
      <c r="O74" s="178">
        <f t="shared" si="162"/>
        <v>1.8215999999999999</v>
      </c>
      <c r="P74" s="223">
        <f t="shared" si="119"/>
        <v>0.23037499999999997</v>
      </c>
      <c r="Q74" s="223">
        <f t="shared" si="120"/>
        <v>24</v>
      </c>
      <c r="R74" s="223">
        <f t="shared" si="121"/>
        <v>0.24250000000000002</v>
      </c>
      <c r="S74" s="178">
        <f t="shared" si="122"/>
        <v>96.924153039385203</v>
      </c>
      <c r="T74" s="178">
        <f t="shared" si="123"/>
        <v>24</v>
      </c>
      <c r="U74" s="223">
        <f t="shared" si="124"/>
        <v>0.47772110689093872</v>
      </c>
      <c r="V74" s="223">
        <f t="shared" si="125"/>
        <v>1.8710743353228434</v>
      </c>
      <c r="W74" s="223">
        <f t="shared" si="126"/>
        <v>0.92589245459274727</v>
      </c>
      <c r="X74" s="203">
        <f t="shared" si="127"/>
        <v>350</v>
      </c>
      <c r="Y74" s="454">
        <f t="shared" si="163"/>
        <v>350</v>
      </c>
      <c r="AA74" s="223">
        <f t="shared" si="128"/>
        <v>0.48799916151346817</v>
      </c>
      <c r="AB74" s="179">
        <f t="shared" si="129"/>
        <v>0.94581280788177335</v>
      </c>
      <c r="AC74" s="179">
        <f t="shared" si="130"/>
        <v>8.077227500912576E-2</v>
      </c>
      <c r="AD74" s="179"/>
      <c r="AE74" s="179">
        <f t="shared" si="131"/>
        <v>0.56206185567010303</v>
      </c>
      <c r="AF74" s="563">
        <f t="shared" si="176"/>
        <v>931.30012396589689</v>
      </c>
      <c r="AG74" s="546">
        <f t="shared" si="132"/>
        <v>2.8524639175257726E-2</v>
      </c>
      <c r="AI74" s="179">
        <f t="shared" si="133"/>
        <v>0.48534102552146918</v>
      </c>
      <c r="AJ74" s="179">
        <f t="shared" si="134"/>
        <v>0.48534102552146918</v>
      </c>
      <c r="AK74" s="179">
        <f t="shared" si="135"/>
        <v>1.344697055941829</v>
      </c>
      <c r="AM74" s="563">
        <f t="shared" si="136"/>
        <v>75.899999999999991</v>
      </c>
      <c r="AN74" s="472">
        <f t="shared" si="137"/>
        <v>350</v>
      </c>
      <c r="AP74">
        <f t="shared" si="138"/>
        <v>75.899999999999991</v>
      </c>
      <c r="AQ74">
        <f t="shared" si="139"/>
        <v>350</v>
      </c>
      <c r="AS74" s="6">
        <f t="shared" si="164"/>
        <v>2.8571428571428572</v>
      </c>
      <c r="AT74" s="6">
        <f t="shared" si="140"/>
        <v>1.9009190166257544</v>
      </c>
      <c r="AU74" s="6">
        <f t="shared" si="165"/>
        <v>0.95622384051710285</v>
      </c>
      <c r="AV74" s="6">
        <f t="shared" si="141"/>
        <v>0.94066095668078564</v>
      </c>
      <c r="AW74" s="179">
        <f t="shared" si="166"/>
        <v>0.66532165581901404</v>
      </c>
      <c r="AX74" s="179">
        <f t="shared" si="142"/>
        <v>1.9374473684210531</v>
      </c>
      <c r="AY74" s="179">
        <f t="shared" si="143"/>
        <v>8.1216565392313478E-2</v>
      </c>
      <c r="AZ74" s="179">
        <f t="shared" si="167"/>
        <v>23.855322606444737</v>
      </c>
      <c r="BA74" s="472">
        <f t="shared" si="144"/>
        <v>0.60116563900789477</v>
      </c>
      <c r="BB74" s="6">
        <f t="shared" si="145"/>
        <v>0.25465750700087048</v>
      </c>
      <c r="BC74" s="6"/>
      <c r="BD74" s="179">
        <f t="shared" si="168"/>
        <v>0.22856104128551569</v>
      </c>
      <c r="BE74" s="179">
        <f t="shared" si="146"/>
        <v>0.1621064077220821</v>
      </c>
      <c r="BF74" s="179"/>
      <c r="BG74" s="546">
        <f t="shared" si="147"/>
        <v>1.8284052357731721E-2</v>
      </c>
      <c r="BH74" s="546">
        <f t="shared" si="148"/>
        <v>4.6183231959777304E-2</v>
      </c>
      <c r="BI74" s="546">
        <f t="shared" si="149"/>
        <v>4.3749999999999995E-3</v>
      </c>
      <c r="BJ74" s="546">
        <f t="shared" si="150"/>
        <v>2.2996093750000002E-2</v>
      </c>
      <c r="BK74">
        <f t="shared" si="151"/>
        <v>3.48E-3</v>
      </c>
      <c r="BL74" s="546">
        <f t="shared" si="152"/>
        <v>9.5926110664858913E-2</v>
      </c>
      <c r="BM74" s="472">
        <f t="shared" si="169"/>
        <v>95.926110664858911</v>
      </c>
      <c r="BN74" s="546">
        <f t="shared" si="153"/>
        <v>2.2769999999999999E-2</v>
      </c>
      <c r="BO74" s="546"/>
      <c r="BQ74" s="472">
        <f t="shared" si="170"/>
        <v>22.77</v>
      </c>
      <c r="BR74" s="546">
        <f t="shared" si="154"/>
        <v>1.0448029918703841E-2</v>
      </c>
      <c r="BS74" s="546">
        <f t="shared" si="155"/>
        <v>5.2556974849115833E-3</v>
      </c>
      <c r="BT74" s="546">
        <f t="shared" si="156"/>
        <v>1.8804319598968427E-2</v>
      </c>
      <c r="BU74" s="546">
        <f t="shared" si="157"/>
        <v>3.4551453931699207E-2</v>
      </c>
      <c r="BV74" s="546">
        <f t="shared" si="158"/>
        <v>1.5252245240761483E-2</v>
      </c>
      <c r="BW74" s="472">
        <f t="shared" si="171"/>
        <v>49.803699172460689</v>
      </c>
      <c r="BX74" s="179">
        <f t="shared" si="172"/>
        <v>0.1684998098373196</v>
      </c>
      <c r="BY74" s="6">
        <f t="shared" si="173"/>
        <v>1.8215999999999999</v>
      </c>
      <c r="BZ74" s="179">
        <f t="shared" si="174"/>
        <v>0.91533097535892249</v>
      </c>
      <c r="CA74" s="6">
        <f t="shared" si="175"/>
        <v>91.533097535892253</v>
      </c>
      <c r="CD74" s="581">
        <f t="shared" si="159"/>
        <v>-50</v>
      </c>
      <c r="CE74">
        <f t="shared" si="160"/>
        <v>-50</v>
      </c>
    </row>
    <row r="75" spans="5:83" x14ac:dyDescent="0.2">
      <c r="E75" s="176">
        <v>70</v>
      </c>
      <c r="F75" s="223">
        <f t="shared" si="161"/>
        <v>7.6999999999999999E-2</v>
      </c>
      <c r="G75" s="223"/>
      <c r="H75" s="223">
        <f t="shared" si="113"/>
        <v>1.8479999999999999</v>
      </c>
      <c r="I75" s="559">
        <f t="shared" si="114"/>
        <v>12</v>
      </c>
      <c r="J75" s="178">
        <f t="shared" si="115"/>
        <v>24.25</v>
      </c>
      <c r="K75" s="454">
        <f t="shared" si="116"/>
        <v>36.25</v>
      </c>
      <c r="L75" s="454"/>
      <c r="M75" s="223">
        <f t="shared" si="117"/>
        <v>0.66896551724137931</v>
      </c>
      <c r="N75" s="178">
        <f t="shared" si="118"/>
        <v>5.528999999999999</v>
      </c>
      <c r="O75" s="178">
        <f t="shared" si="162"/>
        <v>1.8479999999999999</v>
      </c>
      <c r="P75" s="223">
        <f t="shared" si="119"/>
        <v>0.23037499999999997</v>
      </c>
      <c r="Q75" s="223">
        <f t="shared" si="120"/>
        <v>24</v>
      </c>
      <c r="R75" s="223">
        <f t="shared" si="121"/>
        <v>0.24250000000000002</v>
      </c>
      <c r="S75" s="178">
        <f t="shared" si="122"/>
        <v>95.369036843190131</v>
      </c>
      <c r="T75" s="178">
        <f t="shared" si="123"/>
        <v>24</v>
      </c>
      <c r="U75" s="223">
        <f t="shared" si="124"/>
        <v>0.48464460119370595</v>
      </c>
      <c r="V75" s="223">
        <f t="shared" si="125"/>
        <v>1.8981913546753482</v>
      </c>
      <c r="W75" s="223">
        <f t="shared" si="126"/>
        <v>0.93931118581872886</v>
      </c>
      <c r="X75" s="203">
        <f t="shared" si="127"/>
        <v>350</v>
      </c>
      <c r="Y75" s="454">
        <f t="shared" si="163"/>
        <v>350</v>
      </c>
      <c r="AA75" s="223">
        <f t="shared" si="128"/>
        <v>0.48799916151346817</v>
      </c>
      <c r="AB75" s="179">
        <f t="shared" si="129"/>
        <v>0.94581280788177335</v>
      </c>
      <c r="AC75" s="179">
        <f t="shared" si="130"/>
        <v>8.077227500912576E-2</v>
      </c>
      <c r="AD75" s="179"/>
      <c r="AE75" s="179">
        <f t="shared" si="131"/>
        <v>0.56206185567010303</v>
      </c>
      <c r="AF75" s="563">
        <f t="shared" si="176"/>
        <v>944.7972272117795</v>
      </c>
      <c r="AG75" s="546">
        <f t="shared" si="132"/>
        <v>2.8524639175257726E-2</v>
      </c>
      <c r="AI75" s="179">
        <f t="shared" si="133"/>
        <v>0.48884533836135335</v>
      </c>
      <c r="AJ75" s="179">
        <f t="shared" si="134"/>
        <v>0.48884533836135335</v>
      </c>
      <c r="AK75" s="179">
        <f t="shared" si="135"/>
        <v>1.3472928432306321</v>
      </c>
      <c r="AM75" s="563">
        <f t="shared" si="136"/>
        <v>77</v>
      </c>
      <c r="AN75" s="472">
        <f t="shared" si="137"/>
        <v>350</v>
      </c>
      <c r="AP75">
        <f t="shared" si="138"/>
        <v>77</v>
      </c>
      <c r="AQ75">
        <f t="shared" si="139"/>
        <v>350</v>
      </c>
      <c r="AS75" s="6">
        <f t="shared" si="164"/>
        <v>2.8571428571428572</v>
      </c>
      <c r="AT75" s="6">
        <f t="shared" si="140"/>
        <v>1.9146442419153005</v>
      </c>
      <c r="AU75" s="6">
        <f t="shared" si="165"/>
        <v>0.94249861522755674</v>
      </c>
      <c r="AV75" s="6">
        <f t="shared" si="141"/>
        <v>0.94745282074159209</v>
      </c>
      <c r="AW75" s="179">
        <f t="shared" si="166"/>
        <v>0.67012548467035515</v>
      </c>
      <c r="AX75" s="179">
        <f t="shared" si="142"/>
        <v>1.965526315789474</v>
      </c>
      <c r="AY75" s="179">
        <f t="shared" si="143"/>
        <v>8.0628809531553838E-2</v>
      </c>
      <c r="AZ75" s="179">
        <f t="shared" si="167"/>
        <v>24.377469135523715</v>
      </c>
      <c r="BA75" s="472">
        <f t="shared" si="144"/>
        <v>0.61428169428115886</v>
      </c>
      <c r="BB75" s="6">
        <f t="shared" si="145"/>
        <v>0.25463997674569072</v>
      </c>
      <c r="BC75" s="6"/>
      <c r="BD75" s="179">
        <f t="shared" si="168"/>
        <v>0.23104092673764889</v>
      </c>
      <c r="BE75" s="179">
        <f t="shared" si="146"/>
        <v>0.16210082804050396</v>
      </c>
      <c r="BF75" s="179"/>
      <c r="BG75" s="546">
        <f t="shared" si="147"/>
        <v>1.8682968439727075E-2</v>
      </c>
      <c r="BH75" s="546">
        <f t="shared" si="148"/>
        <v>4.6516689228447525E-2</v>
      </c>
      <c r="BI75" s="546">
        <f t="shared" si="149"/>
        <v>4.3749999999999995E-3</v>
      </c>
      <c r="BJ75" s="546">
        <f t="shared" si="150"/>
        <v>2.2996093750000002E-2</v>
      </c>
      <c r="BK75">
        <f t="shared" si="151"/>
        <v>3.48E-3</v>
      </c>
      <c r="BL75" s="546">
        <f t="shared" si="152"/>
        <v>9.6676601762381353E-2</v>
      </c>
      <c r="BM75" s="472">
        <f t="shared" si="169"/>
        <v>96.676601762381353</v>
      </c>
      <c r="BN75" s="546">
        <f t="shared" si="153"/>
        <v>2.3099999999999999E-2</v>
      </c>
      <c r="BO75" s="546"/>
      <c r="BQ75" s="472">
        <f t="shared" si="170"/>
        <v>23.099999999999998</v>
      </c>
      <c r="BR75" s="546">
        <f t="shared" si="154"/>
        <v>1.0675981965558329E-2</v>
      </c>
      <c r="BS75" s="546">
        <f t="shared" si="155"/>
        <v>5.2553356902834076E-3</v>
      </c>
      <c r="BT75" s="546">
        <f t="shared" si="156"/>
        <v>1.9145592474782924E-2</v>
      </c>
      <c r="BU75" s="546">
        <f t="shared" si="157"/>
        <v>3.5121672892821469E-2</v>
      </c>
      <c r="BV75" s="546">
        <f t="shared" si="158"/>
        <v>1.5473292273236289E-2</v>
      </c>
      <c r="BW75" s="472">
        <f t="shared" si="171"/>
        <v>50.594965166057754</v>
      </c>
      <c r="BX75" s="179">
        <f t="shared" si="172"/>
        <v>0.17037156692843911</v>
      </c>
      <c r="BY75" s="6">
        <f t="shared" si="173"/>
        <v>1.8479999999999999</v>
      </c>
      <c r="BZ75" s="179">
        <f t="shared" si="174"/>
        <v>0.91558959226337555</v>
      </c>
      <c r="CA75" s="6">
        <f t="shared" si="175"/>
        <v>91.558959226337549</v>
      </c>
      <c r="CD75" s="581">
        <f t="shared" si="159"/>
        <v>-50</v>
      </c>
      <c r="CE75">
        <f t="shared" si="160"/>
        <v>-50</v>
      </c>
    </row>
    <row r="76" spans="5:83" x14ac:dyDescent="0.2">
      <c r="E76" s="176">
        <v>71</v>
      </c>
      <c r="F76" s="223">
        <f t="shared" si="161"/>
        <v>7.8100000000000003E-2</v>
      </c>
      <c r="G76" s="223"/>
      <c r="H76" s="223">
        <f t="shared" si="113"/>
        <v>1.8744000000000001</v>
      </c>
      <c r="I76" s="559">
        <f t="shared" si="114"/>
        <v>12</v>
      </c>
      <c r="J76" s="178">
        <f t="shared" si="115"/>
        <v>24.25</v>
      </c>
      <c r="K76" s="454">
        <f t="shared" si="116"/>
        <v>36.25</v>
      </c>
      <c r="L76" s="454"/>
      <c r="M76" s="223">
        <f t="shared" si="117"/>
        <v>0.66896551724137931</v>
      </c>
      <c r="N76" s="178">
        <f t="shared" si="118"/>
        <v>5.528999999999999</v>
      </c>
      <c r="O76" s="178">
        <f t="shared" si="162"/>
        <v>1.8744000000000001</v>
      </c>
      <c r="P76" s="223">
        <f t="shared" si="119"/>
        <v>0.23037499999999997</v>
      </c>
      <c r="Q76" s="223">
        <f t="shared" si="120"/>
        <v>24</v>
      </c>
      <c r="R76" s="223">
        <f t="shared" si="121"/>
        <v>0.24250000000000002</v>
      </c>
      <c r="S76" s="178">
        <f t="shared" si="122"/>
        <v>93.857742631272558</v>
      </c>
      <c r="T76" s="178">
        <f t="shared" si="123"/>
        <v>24</v>
      </c>
      <c r="U76" s="223">
        <f t="shared" si="124"/>
        <v>0.49156809549647323</v>
      </c>
      <c r="V76" s="223">
        <f t="shared" si="125"/>
        <v>1.9253083740278536</v>
      </c>
      <c r="W76" s="223">
        <f t="shared" si="126"/>
        <v>0.95272991704471099</v>
      </c>
      <c r="X76" s="203">
        <f t="shared" si="127"/>
        <v>350</v>
      </c>
      <c r="Y76" s="454">
        <f t="shared" si="163"/>
        <v>347.45889347682305</v>
      </c>
      <c r="AA76" s="223">
        <f t="shared" si="128"/>
        <v>0.48799916151346817</v>
      </c>
      <c r="AB76" s="179">
        <f t="shared" si="129"/>
        <v>0.94581280788177335</v>
      </c>
      <c r="AC76" s="179">
        <f t="shared" si="130"/>
        <v>8.077227500912576E-2</v>
      </c>
      <c r="AD76" s="179"/>
      <c r="AE76" s="179">
        <f t="shared" si="131"/>
        <v>0.56206185567010303</v>
      </c>
      <c r="AF76" s="563">
        <f t="shared" si="176"/>
        <v>958.29433045766211</v>
      </c>
      <c r="AG76" s="546">
        <f t="shared" si="132"/>
        <v>2.8524639175257726E-2</v>
      </c>
      <c r="AI76" s="179">
        <f t="shared" si="133"/>
        <v>0.49232470852174454</v>
      </c>
      <c r="AJ76" s="179">
        <f t="shared" si="134"/>
        <v>0.49232470852174454</v>
      </c>
      <c r="AK76" s="179">
        <f t="shared" si="135"/>
        <v>1.3498701544605516</v>
      </c>
      <c r="AM76" s="563">
        <f t="shared" si="136"/>
        <v>78.100000000000009</v>
      </c>
      <c r="AN76" s="472">
        <f t="shared" si="137"/>
        <v>347.45889347682305</v>
      </c>
      <c r="AP76">
        <f t="shared" si="138"/>
        <v>78.100000000000009</v>
      </c>
      <c r="AQ76">
        <f t="shared" si="139"/>
        <v>347.45889347682305</v>
      </c>
      <c r="AS76" s="6">
        <f t="shared" si="164"/>
        <v>2.8780382910725644</v>
      </c>
      <c r="AT76" s="6">
        <f t="shared" si="140"/>
        <v>1.9282717750434994</v>
      </c>
      <c r="AU76" s="6">
        <f t="shared" si="165"/>
        <v>0.94976651602906492</v>
      </c>
      <c r="AV76" s="6">
        <f t="shared" si="141"/>
        <v>0.95419634228956662</v>
      </c>
      <c r="AW76" s="179">
        <f t="shared" si="166"/>
        <v>0.66999517727920377</v>
      </c>
      <c r="AX76" s="179">
        <f t="shared" si="142"/>
        <v>1.9791310821897514</v>
      </c>
      <c r="AY76" s="179">
        <f t="shared" si="143"/>
        <v>8.1234764078392988E-2</v>
      </c>
      <c r="AZ76" s="179">
        <f t="shared" si="167"/>
        <v>24.363104942113882</v>
      </c>
      <c r="BA76" s="472">
        <f t="shared" si="144"/>
        <v>0.62749177346207208</v>
      </c>
      <c r="BB76" s="6">
        <f t="shared" si="145"/>
        <v>0.26026935053287709</v>
      </c>
      <c r="BC76" s="6"/>
      <c r="BD76" s="179">
        <f t="shared" si="168"/>
        <v>0.23266274270394455</v>
      </c>
      <c r="BE76" s="179">
        <f t="shared" si="146"/>
        <v>0.16328682646747208</v>
      </c>
      <c r="BF76" s="179"/>
      <c r="BG76" s="546">
        <f t="shared" si="147"/>
        <v>1.8946183144882667E-2</v>
      </c>
      <c r="BH76" s="546">
        <f t="shared" si="148"/>
        <v>4.6507643954753236E-2</v>
      </c>
      <c r="BI76" s="546">
        <f t="shared" si="149"/>
        <v>4.3432361684602877E-3</v>
      </c>
      <c r="BJ76" s="546">
        <f t="shared" si="150"/>
        <v>2.2829135110469391E-2</v>
      </c>
      <c r="BK76">
        <f t="shared" si="151"/>
        <v>3.48E-3</v>
      </c>
      <c r="BL76" s="546">
        <f t="shared" si="152"/>
        <v>9.6741290678631936E-2</v>
      </c>
      <c r="BM76" s="472">
        <f t="shared" si="169"/>
        <v>96.741290678631941</v>
      </c>
      <c r="BN76" s="546">
        <f t="shared" si="153"/>
        <v>2.3429999999999999E-2</v>
      </c>
      <c r="BO76" s="546"/>
      <c r="BQ76" s="472">
        <f t="shared" si="170"/>
        <v>23.43</v>
      </c>
      <c r="BR76" s="546">
        <f t="shared" si="154"/>
        <v>1.0826390368504381E-2</v>
      </c>
      <c r="BS76" s="546">
        <f t="shared" si="155"/>
        <v>5.3325175395636691E-3</v>
      </c>
      <c r="BT76" s="546">
        <f t="shared" si="156"/>
        <v>1.9136286574489066E-2</v>
      </c>
      <c r="BU76" s="546">
        <f t="shared" si="157"/>
        <v>3.5340880084691412E-2</v>
      </c>
      <c r="BV76" s="546">
        <f t="shared" si="158"/>
        <v>1.5580393625749105E-2</v>
      </c>
      <c r="BW76" s="472">
        <f t="shared" si="171"/>
        <v>50.921273710440516</v>
      </c>
      <c r="BX76" s="179">
        <f t="shared" si="172"/>
        <v>0.17109256438907247</v>
      </c>
      <c r="BY76" s="6">
        <f t="shared" si="173"/>
        <v>1.8744000000000001</v>
      </c>
      <c r="BZ76" s="179">
        <f t="shared" si="174"/>
        <v>0.91635630098700804</v>
      </c>
      <c r="CA76" s="6">
        <f t="shared" si="175"/>
        <v>91.635630098700801</v>
      </c>
      <c r="CD76" s="581">
        <f t="shared" si="159"/>
        <v>-50</v>
      </c>
      <c r="CE76">
        <f t="shared" si="160"/>
        <v>-50</v>
      </c>
    </row>
    <row r="77" spans="5:83" x14ac:dyDescent="0.2">
      <c r="E77" s="176">
        <v>72</v>
      </c>
      <c r="F77" s="223">
        <f t="shared" si="161"/>
        <v>7.9199999999999993E-2</v>
      </c>
      <c r="G77" s="223"/>
      <c r="H77" s="223">
        <f t="shared" si="113"/>
        <v>1.9007999999999998</v>
      </c>
      <c r="I77" s="559">
        <f t="shared" si="114"/>
        <v>12</v>
      </c>
      <c r="J77" s="178">
        <f t="shared" si="115"/>
        <v>24.25</v>
      </c>
      <c r="K77" s="454">
        <f t="shared" si="116"/>
        <v>36.25</v>
      </c>
      <c r="L77" s="454"/>
      <c r="M77" s="223">
        <f t="shared" si="117"/>
        <v>0.66896551724137931</v>
      </c>
      <c r="N77" s="178">
        <f t="shared" si="118"/>
        <v>5.528999999999999</v>
      </c>
      <c r="O77" s="178">
        <f t="shared" si="162"/>
        <v>1.9007999999999998</v>
      </c>
      <c r="P77" s="223">
        <f t="shared" si="119"/>
        <v>0.23037499999999997</v>
      </c>
      <c r="Q77" s="223">
        <f t="shared" si="120"/>
        <v>24</v>
      </c>
      <c r="R77" s="223">
        <f t="shared" si="121"/>
        <v>0.24250000000000002</v>
      </c>
      <c r="S77" s="178">
        <f t="shared" si="122"/>
        <v>92.388444569478182</v>
      </c>
      <c r="T77" s="178">
        <f t="shared" si="123"/>
        <v>24</v>
      </c>
      <c r="U77" s="223">
        <f t="shared" si="124"/>
        <v>0.49849158979924035</v>
      </c>
      <c r="V77" s="223">
        <f t="shared" si="125"/>
        <v>1.9524253933803579</v>
      </c>
      <c r="W77" s="223">
        <f t="shared" si="126"/>
        <v>0.96614864827069247</v>
      </c>
      <c r="X77" s="203">
        <f t="shared" si="127"/>
        <v>350</v>
      </c>
      <c r="Y77" s="454">
        <f t="shared" si="163"/>
        <v>342.63307551186728</v>
      </c>
      <c r="AA77" s="223">
        <f t="shared" si="128"/>
        <v>0.48799916151346817</v>
      </c>
      <c r="AB77" s="179">
        <f t="shared" si="129"/>
        <v>0.94581280788177335</v>
      </c>
      <c r="AC77" s="179">
        <f t="shared" si="130"/>
        <v>8.077227500912576E-2</v>
      </c>
      <c r="AD77" s="179"/>
      <c r="AE77" s="179">
        <f t="shared" si="131"/>
        <v>0.56206185567010303</v>
      </c>
      <c r="AF77" s="563">
        <f t="shared" si="176"/>
        <v>971.7914337035445</v>
      </c>
      <c r="AG77" s="546">
        <f t="shared" si="132"/>
        <v>2.8524639175257726E-2</v>
      </c>
      <c r="AI77" s="179">
        <f t="shared" si="133"/>
        <v>0.4957796611443589</v>
      </c>
      <c r="AJ77" s="179">
        <f t="shared" si="134"/>
        <v>0.4957796611443589</v>
      </c>
      <c r="AK77" s="179">
        <f t="shared" si="135"/>
        <v>1.3524293786254509</v>
      </c>
      <c r="AM77" s="563">
        <f t="shared" si="136"/>
        <v>79.199999999999989</v>
      </c>
      <c r="AN77" s="472">
        <f t="shared" si="137"/>
        <v>342.63307551186728</v>
      </c>
      <c r="AP77">
        <f t="shared" si="138"/>
        <v>79.199999999999989</v>
      </c>
      <c r="AQ77">
        <f t="shared" si="139"/>
        <v>342.63307551186728</v>
      </c>
      <c r="AS77" s="6">
        <f t="shared" si="164"/>
        <v>2.9185740416510506</v>
      </c>
      <c r="AT77" s="6">
        <f t="shared" si="140"/>
        <v>1.9418036728154056</v>
      </c>
      <c r="AU77" s="6">
        <f t="shared" si="165"/>
        <v>0.97677036883564505</v>
      </c>
      <c r="AV77" s="6">
        <f t="shared" si="141"/>
        <v>0.96089253912514927</v>
      </c>
      <c r="AW77" s="179">
        <f t="shared" si="166"/>
        <v>0.66532616445698201</v>
      </c>
      <c r="AX77" s="179">
        <f t="shared" si="142"/>
        <v>1.9791310821897514</v>
      </c>
      <c r="AY77" s="179">
        <f t="shared" si="143"/>
        <v>8.2962240389700181E-2</v>
      </c>
      <c r="AZ77" s="179">
        <f t="shared" si="167"/>
        <v>23.855805639928956</v>
      </c>
      <c r="BA77" s="472">
        <f t="shared" si="144"/>
        <v>0.64079521202908374</v>
      </c>
      <c r="BB77" s="6">
        <f t="shared" si="145"/>
        <v>0.2714393446027476</v>
      </c>
      <c r="BC77" s="6"/>
      <c r="BD77" s="179">
        <f t="shared" si="168"/>
        <v>0.23347768597737595</v>
      </c>
      <c r="BE77" s="179">
        <f t="shared" si="146"/>
        <v>0.16559185050032382</v>
      </c>
      <c r="BF77" s="179"/>
      <c r="BG77" s="546">
        <f t="shared" si="147"/>
        <v>1.9079140447272557E-2</v>
      </c>
      <c r="BH77" s="546">
        <f t="shared" si="148"/>
        <v>4.6183544926402219E-2</v>
      </c>
      <c r="BI77" s="546">
        <f t="shared" si="149"/>
        <v>4.282913443898341E-3</v>
      </c>
      <c r="BJ77" s="546">
        <f t="shared" si="150"/>
        <v>2.2512063789490659E-2</v>
      </c>
      <c r="BK77">
        <f t="shared" si="151"/>
        <v>3.48E-3</v>
      </c>
      <c r="BL77" s="546">
        <f t="shared" si="152"/>
        <v>9.6173457851255417E-2</v>
      </c>
      <c r="BM77" s="472">
        <f t="shared" si="169"/>
        <v>96.173457851255421</v>
      </c>
      <c r="BN77" s="546">
        <f t="shared" si="153"/>
        <v>2.3759999999999996E-2</v>
      </c>
      <c r="BO77" s="546"/>
      <c r="BQ77" s="472">
        <f t="shared" si="170"/>
        <v>23.759999999999998</v>
      </c>
      <c r="BR77" s="546">
        <f t="shared" si="154"/>
        <v>1.0902365969870036E-2</v>
      </c>
      <c r="BS77" s="546">
        <f t="shared" si="155"/>
        <v>5.4841321904243196E-3</v>
      </c>
      <c r="BT77" s="546">
        <f t="shared" si="156"/>
        <v>1.8804638175327237E-2</v>
      </c>
      <c r="BU77" s="546">
        <f t="shared" si="157"/>
        <v>3.5237329650621076E-2</v>
      </c>
      <c r="BV77" s="546">
        <f t="shared" si="158"/>
        <v>1.5580393625749108E-2</v>
      </c>
      <c r="BW77" s="472">
        <f t="shared" si="171"/>
        <v>50.817723276370188</v>
      </c>
      <c r="BX77" s="179">
        <f t="shared" si="172"/>
        <v>0.17075118112762561</v>
      </c>
      <c r="BY77" s="6">
        <f t="shared" si="173"/>
        <v>1.9007999999999998</v>
      </c>
      <c r="BZ77" s="179">
        <f t="shared" si="174"/>
        <v>0.91757327422889012</v>
      </c>
      <c r="CA77" s="6">
        <f t="shared" si="175"/>
        <v>91.757327422889006</v>
      </c>
      <c r="CD77" s="581">
        <f t="shared" si="159"/>
        <v>-50</v>
      </c>
      <c r="CE77">
        <f t="shared" si="160"/>
        <v>-50</v>
      </c>
    </row>
    <row r="78" spans="5:83" x14ac:dyDescent="0.2">
      <c r="E78" s="176">
        <v>73</v>
      </c>
      <c r="F78" s="223">
        <f t="shared" si="161"/>
        <v>8.0299999999999996E-2</v>
      </c>
      <c r="G78" s="223"/>
      <c r="H78" s="223">
        <f t="shared" si="113"/>
        <v>1.9272</v>
      </c>
      <c r="I78" s="559">
        <f t="shared" si="114"/>
        <v>12</v>
      </c>
      <c r="J78" s="178">
        <f t="shared" si="115"/>
        <v>24.25</v>
      </c>
      <c r="K78" s="454">
        <f t="shared" si="116"/>
        <v>36.25</v>
      </c>
      <c r="L78" s="454"/>
      <c r="M78" s="223">
        <f t="shared" si="117"/>
        <v>0.66896551724137931</v>
      </c>
      <c r="N78" s="178">
        <f t="shared" si="118"/>
        <v>5.528999999999999</v>
      </c>
      <c r="O78" s="178">
        <f t="shared" si="162"/>
        <v>1.9272</v>
      </c>
      <c r="P78" s="223">
        <f t="shared" si="119"/>
        <v>0.23037499999999997</v>
      </c>
      <c r="Q78" s="223">
        <f t="shared" si="120"/>
        <v>24</v>
      </c>
      <c r="R78" s="223">
        <f t="shared" si="121"/>
        <v>0.24250000000000002</v>
      </c>
      <c r="S78" s="178">
        <f t="shared" si="122"/>
        <v>90.95941686990696</v>
      </c>
      <c r="T78" s="178">
        <f t="shared" si="123"/>
        <v>24</v>
      </c>
      <c r="U78" s="223">
        <f t="shared" si="124"/>
        <v>0.50541508410200764</v>
      </c>
      <c r="V78" s="223">
        <f t="shared" si="125"/>
        <v>1.9795424127328631</v>
      </c>
      <c r="W78" s="223">
        <f t="shared" si="126"/>
        <v>0.9795673794966745</v>
      </c>
      <c r="X78" s="203">
        <f t="shared" si="127"/>
        <v>350</v>
      </c>
      <c r="Y78" s="454">
        <f t="shared" si="163"/>
        <v>337.93947173773205</v>
      </c>
      <c r="AA78" s="223">
        <f t="shared" si="128"/>
        <v>0.48799916151346817</v>
      </c>
      <c r="AB78" s="179">
        <f t="shared" si="129"/>
        <v>0.94581280788177335</v>
      </c>
      <c r="AC78" s="179">
        <f t="shared" si="130"/>
        <v>8.077227500912576E-2</v>
      </c>
      <c r="AD78" s="179"/>
      <c r="AE78" s="179">
        <f t="shared" si="131"/>
        <v>0.56206185567010303</v>
      </c>
      <c r="AF78" s="563">
        <f t="shared" si="176"/>
        <v>985.28853694942711</v>
      </c>
      <c r="AG78" s="546">
        <f t="shared" si="132"/>
        <v>2.8524639175257726E-2</v>
      </c>
      <c r="AI78" s="179">
        <f t="shared" si="133"/>
        <v>0.49921070319836891</v>
      </c>
      <c r="AJ78" s="179">
        <f t="shared" si="134"/>
        <v>0.49921070319836891</v>
      </c>
      <c r="AK78" s="179">
        <f t="shared" si="135"/>
        <v>1.3549708912580511</v>
      </c>
      <c r="AM78" s="563">
        <f t="shared" si="136"/>
        <v>80.3</v>
      </c>
      <c r="AN78" s="472">
        <f t="shared" si="137"/>
        <v>337.93947173773205</v>
      </c>
      <c r="AP78">
        <f t="shared" si="138"/>
        <v>80.3</v>
      </c>
      <c r="AQ78">
        <f t="shared" si="139"/>
        <v>337.93947173773205</v>
      </c>
      <c r="AS78" s="6">
        <f t="shared" si="164"/>
        <v>2.9591097922295377</v>
      </c>
      <c r="AT78" s="6">
        <f t="shared" si="140"/>
        <v>1.9552419208602785</v>
      </c>
      <c r="AU78" s="6">
        <f t="shared" si="165"/>
        <v>1.0038678713692593</v>
      </c>
      <c r="AV78" s="6">
        <f t="shared" si="141"/>
        <v>0.96754239382776652</v>
      </c>
      <c r="AW78" s="179">
        <f t="shared" si="166"/>
        <v>0.66075342185499097</v>
      </c>
      <c r="AX78" s="179">
        <f t="shared" si="142"/>
        <v>1.979131082189751</v>
      </c>
      <c r="AY78" s="179">
        <f t="shared" si="143"/>
        <v>8.4677761416705188E-2</v>
      </c>
      <c r="AZ78" s="179">
        <f t="shared" si="167"/>
        <v>23.372501222018712</v>
      </c>
      <c r="BA78" s="472">
        <f t="shared" si="144"/>
        <v>0.65419135935450146</v>
      </c>
      <c r="BB78" s="6">
        <f t="shared" si="145"/>
        <v>0.28284417568754916</v>
      </c>
      <c r="BC78" s="6"/>
      <c r="BD78" s="179">
        <f t="shared" si="168"/>
        <v>0.23428418394734188</v>
      </c>
      <c r="BE78" s="179">
        <f t="shared" si="146"/>
        <v>0.16787305684573509</v>
      </c>
      <c r="BF78" s="179"/>
      <c r="BG78" s="546">
        <f t="shared" si="147"/>
        <v>1.9211177596755172E-2</v>
      </c>
      <c r="BH78" s="546">
        <f t="shared" si="148"/>
        <v>4.586612848514697E-2</v>
      </c>
      <c r="BI78" s="546">
        <f t="shared" si="149"/>
        <v>4.2242433967216502E-3</v>
      </c>
      <c r="BJ78" s="546">
        <f t="shared" si="150"/>
        <v>2.2203679354018176E-2</v>
      </c>
      <c r="BK78">
        <f t="shared" si="151"/>
        <v>3.48E-3</v>
      </c>
      <c r="BL78" s="546">
        <f t="shared" si="152"/>
        <v>9.5621751568082294E-2</v>
      </c>
      <c r="BM78" s="472">
        <f t="shared" si="169"/>
        <v>95.621751568082288</v>
      </c>
      <c r="BN78" s="546">
        <f t="shared" si="153"/>
        <v>2.4089999999999997E-2</v>
      </c>
      <c r="BO78" s="546"/>
      <c r="BQ78" s="472">
        <f t="shared" si="170"/>
        <v>24.089999999999996</v>
      </c>
      <c r="BR78" s="546">
        <f t="shared" si="154"/>
        <v>1.0977815769574385E-2</v>
      </c>
      <c r="BS78" s="546">
        <f t="shared" si="155"/>
        <v>5.6362726429462807E-3</v>
      </c>
      <c r="BT78" s="546">
        <f t="shared" si="156"/>
        <v>1.8483194211055046E-2</v>
      </c>
      <c r="BU78" s="546">
        <f t="shared" si="157"/>
        <v>3.5143993456732449E-2</v>
      </c>
      <c r="BV78" s="546">
        <f t="shared" si="158"/>
        <v>1.5580393625749105E-2</v>
      </c>
      <c r="BW78" s="472">
        <f t="shared" si="171"/>
        <v>50.724387082481549</v>
      </c>
      <c r="BX78" s="179">
        <f t="shared" si="172"/>
        <v>0.17043613865056387</v>
      </c>
      <c r="BY78" s="6">
        <f t="shared" si="173"/>
        <v>1.9272</v>
      </c>
      <c r="BZ78" s="179">
        <f t="shared" si="174"/>
        <v>0.91874847333617748</v>
      </c>
      <c r="CA78" s="6">
        <f t="shared" si="175"/>
        <v>91.874847333617751</v>
      </c>
      <c r="CD78" s="581">
        <f t="shared" si="159"/>
        <v>-50</v>
      </c>
      <c r="CE78">
        <f t="shared" si="160"/>
        <v>-50</v>
      </c>
    </row>
    <row r="79" spans="5:83" x14ac:dyDescent="0.2">
      <c r="E79" s="176">
        <v>74</v>
      </c>
      <c r="F79" s="223">
        <f t="shared" si="161"/>
        <v>8.14E-2</v>
      </c>
      <c r="G79" s="223"/>
      <c r="H79" s="223">
        <f t="shared" si="113"/>
        <v>1.9536</v>
      </c>
      <c r="I79" s="559">
        <f t="shared" si="114"/>
        <v>12</v>
      </c>
      <c r="J79" s="178">
        <f t="shared" si="115"/>
        <v>24.25</v>
      </c>
      <c r="K79" s="454">
        <f t="shared" si="116"/>
        <v>36.25</v>
      </c>
      <c r="L79" s="454"/>
      <c r="M79" s="223">
        <f t="shared" si="117"/>
        <v>0.66896551724137931</v>
      </c>
      <c r="N79" s="178">
        <f t="shared" si="118"/>
        <v>5.528999999999999</v>
      </c>
      <c r="O79" s="178">
        <f t="shared" si="162"/>
        <v>1.9536</v>
      </c>
      <c r="P79" s="223">
        <f t="shared" si="119"/>
        <v>0.23037499999999997</v>
      </c>
      <c r="Q79" s="223">
        <f t="shared" si="120"/>
        <v>24</v>
      </c>
      <c r="R79" s="223">
        <f t="shared" si="121"/>
        <v>0.24250000000000002</v>
      </c>
      <c r="S79" s="178">
        <f t="shared" si="122"/>
        <v>89.569027031035617</v>
      </c>
      <c r="T79" s="178">
        <f t="shared" si="123"/>
        <v>24</v>
      </c>
      <c r="U79" s="223">
        <f t="shared" si="124"/>
        <v>0.51233857840477492</v>
      </c>
      <c r="V79" s="223">
        <f t="shared" si="125"/>
        <v>2.0066594320853683</v>
      </c>
      <c r="W79" s="223">
        <f t="shared" si="126"/>
        <v>0.99298611072265641</v>
      </c>
      <c r="X79" s="203">
        <f t="shared" si="127"/>
        <v>350</v>
      </c>
      <c r="Y79" s="454">
        <f t="shared" si="163"/>
        <v>333.3727221196545</v>
      </c>
      <c r="AA79" s="223">
        <f t="shared" si="128"/>
        <v>0.48799916151346817</v>
      </c>
      <c r="AB79" s="179">
        <f t="shared" si="129"/>
        <v>0.94581280788177335</v>
      </c>
      <c r="AC79" s="179">
        <f t="shared" si="130"/>
        <v>8.077227500912576E-2</v>
      </c>
      <c r="AD79" s="179"/>
      <c r="AE79" s="179">
        <f t="shared" si="131"/>
        <v>0.56206185567010303</v>
      </c>
      <c r="AF79" s="563">
        <f t="shared" si="176"/>
        <v>998.78564019530972</v>
      </c>
      <c r="AG79" s="546">
        <f t="shared" si="132"/>
        <v>2.8524639175257726E-2</v>
      </c>
      <c r="AI79" s="179">
        <f t="shared" si="133"/>
        <v>0.50261832434880904</v>
      </c>
      <c r="AJ79" s="179">
        <f t="shared" si="134"/>
        <v>0.51233857840477492</v>
      </c>
      <c r="AK79" s="179">
        <f t="shared" si="135"/>
        <v>1.3646952432627963</v>
      </c>
      <c r="AM79" s="563">
        <f t="shared" si="136"/>
        <v>81.400000000000006</v>
      </c>
      <c r="AN79" s="472">
        <f t="shared" si="137"/>
        <v>333.3727221196545</v>
      </c>
      <c r="AP79">
        <f t="shared" si="138"/>
        <v>81.400000000000006</v>
      </c>
      <c r="AQ79">
        <f t="shared" si="139"/>
        <v>333.3727221196545</v>
      </c>
      <c r="AS79" s="6">
        <f t="shared" si="164"/>
        <v>2.9996455428080253</v>
      </c>
      <c r="AT79" s="6">
        <f t="shared" si="140"/>
        <v>2.0066594320853683</v>
      </c>
      <c r="AU79" s="6">
        <f t="shared" si="165"/>
        <v>0.99298611072265697</v>
      </c>
      <c r="AV79" s="6">
        <f t="shared" si="141"/>
        <v>0.99298611072265641</v>
      </c>
      <c r="AW79" s="179">
        <f t="shared" si="166"/>
        <v>0.6689655172413792</v>
      </c>
      <c r="AX79" s="179">
        <f t="shared" si="142"/>
        <v>2.0564210526315789</v>
      </c>
      <c r="AY79" s="179">
        <f t="shared" si="143"/>
        <v>8.4800868149755876E-2</v>
      </c>
      <c r="AZ79" s="179">
        <f t="shared" si="167"/>
        <v>24.249999999999986</v>
      </c>
      <c r="BA79" s="472">
        <f t="shared" si="144"/>
        <v>0.68059199071562071</v>
      </c>
      <c r="BB79" s="6">
        <f t="shared" si="145"/>
        <v>0.2836107698695588</v>
      </c>
      <c r="BC79" s="6"/>
      <c r="BD79" s="179">
        <f t="shared" si="168"/>
        <v>0.24193477526746221</v>
      </c>
      <c r="BE79" s="179">
        <f t="shared" si="146"/>
        <v>0.17018961236483007</v>
      </c>
      <c r="BF79" s="179"/>
      <c r="BG79" s="546">
        <f t="shared" si="147"/>
        <v>2.0486352419301104E-2</v>
      </c>
      <c r="BH79" s="546">
        <f t="shared" si="148"/>
        <v>4.643617021276595E-2</v>
      </c>
      <c r="BI79" s="546">
        <f t="shared" si="149"/>
        <v>4.1671590264956808E-3</v>
      </c>
      <c r="BJ79" s="546">
        <f t="shared" si="150"/>
        <v>2.1903629633017927E-2</v>
      </c>
      <c r="BK79">
        <f t="shared" si="151"/>
        <v>3.48E-3</v>
      </c>
      <c r="BL79" s="546">
        <f t="shared" si="152"/>
        <v>9.7163025076517223E-2</v>
      </c>
      <c r="BM79" s="472">
        <f t="shared" si="169"/>
        <v>97.163025076517229</v>
      </c>
      <c r="BN79" s="546">
        <f t="shared" si="153"/>
        <v>2.4420000000000001E-2</v>
      </c>
      <c r="BO79" s="546"/>
      <c r="BQ79" s="472">
        <f t="shared" si="170"/>
        <v>24.42</v>
      </c>
      <c r="BR79" s="546">
        <f t="shared" si="154"/>
        <v>1.170648709674349E-2</v>
      </c>
      <c r="BS79" s="546">
        <f t="shared" si="155"/>
        <v>5.7929008313782242E-3</v>
      </c>
      <c r="BT79" s="546">
        <f t="shared" si="156"/>
        <v>1.9062848865117572E-2</v>
      </c>
      <c r="BU79" s="546">
        <f t="shared" si="157"/>
        <v>3.6613493891880719E-2</v>
      </c>
      <c r="BV79" s="546">
        <f t="shared" si="158"/>
        <v>1.6188846584546477E-2</v>
      </c>
      <c r="BW79" s="472">
        <f t="shared" si="171"/>
        <v>52.80234047642719</v>
      </c>
      <c r="BX79" s="179">
        <f t="shared" si="172"/>
        <v>0.1743853655529444</v>
      </c>
      <c r="BY79" s="6">
        <f t="shared" si="173"/>
        <v>1.9536</v>
      </c>
      <c r="BZ79" s="179">
        <f t="shared" si="174"/>
        <v>0.9180514263040378</v>
      </c>
      <c r="CA79" s="6">
        <f t="shared" si="175"/>
        <v>91.805142630403779</v>
      </c>
      <c r="CD79" s="581">
        <f t="shared" si="159"/>
        <v>-50</v>
      </c>
      <c r="CE79">
        <f t="shared" si="160"/>
        <v>-50</v>
      </c>
    </row>
    <row r="80" spans="5:83" x14ac:dyDescent="0.2">
      <c r="E80" s="176">
        <v>75</v>
      </c>
      <c r="F80" s="223">
        <f t="shared" si="161"/>
        <v>8.2500000000000004E-2</v>
      </c>
      <c r="G80" s="223"/>
      <c r="H80" s="223">
        <f t="shared" si="113"/>
        <v>1.98</v>
      </c>
      <c r="I80" s="559">
        <f t="shared" si="114"/>
        <v>12</v>
      </c>
      <c r="J80" s="178">
        <f t="shared" si="115"/>
        <v>24.25</v>
      </c>
      <c r="K80" s="454">
        <f t="shared" si="116"/>
        <v>36.25</v>
      </c>
      <c r="L80" s="454"/>
      <c r="M80" s="223">
        <f t="shared" si="117"/>
        <v>0.66896551724137931</v>
      </c>
      <c r="N80" s="178">
        <f t="shared" si="118"/>
        <v>5.528999999999999</v>
      </c>
      <c r="O80" s="178">
        <f t="shared" si="162"/>
        <v>1.98</v>
      </c>
      <c r="P80" s="223">
        <f t="shared" si="119"/>
        <v>0.23037499999999997</v>
      </c>
      <c r="Q80" s="223">
        <f t="shared" si="120"/>
        <v>24</v>
      </c>
      <c r="R80" s="223">
        <f t="shared" si="121"/>
        <v>0.24250000000000002</v>
      </c>
      <c r="S80" s="178">
        <f t="shared" si="122"/>
        <v>88.215729618630277</v>
      </c>
      <c r="T80" s="178">
        <f t="shared" si="123"/>
        <v>24</v>
      </c>
      <c r="U80" s="223">
        <f t="shared" si="124"/>
        <v>0.5192620727075421</v>
      </c>
      <c r="V80" s="223">
        <f t="shared" si="125"/>
        <v>2.0337764514378729</v>
      </c>
      <c r="W80" s="223">
        <f t="shared" si="126"/>
        <v>1.0064048419486382</v>
      </c>
      <c r="X80" s="203">
        <f t="shared" si="127"/>
        <v>350</v>
      </c>
      <c r="Y80" s="454">
        <f t="shared" si="163"/>
        <v>328.92775249139254</v>
      </c>
      <c r="AA80" s="223">
        <f t="shared" si="128"/>
        <v>0.48799916151346817</v>
      </c>
      <c r="AB80" s="179">
        <f t="shared" si="129"/>
        <v>0.94581280788177335</v>
      </c>
      <c r="AC80" s="179">
        <f t="shared" si="130"/>
        <v>8.077227500912576E-2</v>
      </c>
      <c r="AD80" s="179"/>
      <c r="AE80" s="179">
        <f t="shared" si="131"/>
        <v>0.56206185567010303</v>
      </c>
      <c r="AF80" s="563">
        <f t="shared" si="176"/>
        <v>1012.2827434411923</v>
      </c>
      <c r="AG80" s="546">
        <f t="shared" si="132"/>
        <v>2.8524639175257726E-2</v>
      </c>
      <c r="AI80" s="179">
        <f t="shared" si="133"/>
        <v>0.50600299777234448</v>
      </c>
      <c r="AJ80" s="179">
        <f t="shared" si="134"/>
        <v>0.5192620727075421</v>
      </c>
      <c r="AK80" s="179">
        <f t="shared" si="135"/>
        <v>1.3698237575611423</v>
      </c>
      <c r="AM80" s="563">
        <f t="shared" si="136"/>
        <v>82.5</v>
      </c>
      <c r="AN80" s="472">
        <f t="shared" si="137"/>
        <v>328.92775249139254</v>
      </c>
      <c r="AP80">
        <f t="shared" si="138"/>
        <v>82.5</v>
      </c>
      <c r="AQ80">
        <f t="shared" si="139"/>
        <v>328.92775249139254</v>
      </c>
      <c r="AS80" s="6">
        <f t="shared" si="164"/>
        <v>3.0401812933865111</v>
      </c>
      <c r="AT80" s="6">
        <f t="shared" si="140"/>
        <v>2.0337764514378729</v>
      </c>
      <c r="AU80" s="6">
        <f t="shared" si="165"/>
        <v>1.0064048419486382</v>
      </c>
      <c r="AV80" s="6">
        <f t="shared" si="141"/>
        <v>1.0064048419486382</v>
      </c>
      <c r="AW80" s="179">
        <f t="shared" si="166"/>
        <v>0.66896551724137931</v>
      </c>
      <c r="AX80" s="179">
        <f t="shared" si="142"/>
        <v>2.0842105263157897</v>
      </c>
      <c r="AY80" s="179">
        <f t="shared" si="143"/>
        <v>8.5946825827455248E-2</v>
      </c>
      <c r="AZ80" s="179">
        <f t="shared" si="167"/>
        <v>24.25</v>
      </c>
      <c r="BA80" s="472">
        <f t="shared" si="144"/>
        <v>0.69911065518176885</v>
      </c>
      <c r="BB80" s="6">
        <f t="shared" si="145"/>
        <v>0.29132771740618474</v>
      </c>
      <c r="BC80" s="6"/>
      <c r="BD80" s="179">
        <f t="shared" si="168"/>
        <v>0.2452041641224279</v>
      </c>
      <c r="BE80" s="179">
        <f t="shared" si="146"/>
        <v>0.17248947199138179</v>
      </c>
      <c r="BF80" s="179"/>
      <c r="BG80" s="546">
        <f t="shared" si="147"/>
        <v>2.1043778736042493E-2</v>
      </c>
      <c r="BH80" s="546">
        <f t="shared" si="148"/>
        <v>4.6436170212765956E-2</v>
      </c>
      <c r="BI80" s="546">
        <f t="shared" si="149"/>
        <v>4.1115969061424071E-3</v>
      </c>
      <c r="BJ80" s="546">
        <f t="shared" si="150"/>
        <v>2.1611581237911025E-2</v>
      </c>
      <c r="BK80">
        <f t="shared" si="151"/>
        <v>3.48E-3</v>
      </c>
      <c r="BL80" s="546">
        <f t="shared" si="152"/>
        <v>9.7393286734893156E-2</v>
      </c>
      <c r="BM80" s="472">
        <f t="shared" si="169"/>
        <v>97.393286734893152</v>
      </c>
      <c r="BN80" s="546">
        <f t="shared" si="153"/>
        <v>2.4750000000000001E-2</v>
      </c>
      <c r="BO80" s="546"/>
      <c r="BQ80" s="472">
        <f t="shared" si="170"/>
        <v>24.75</v>
      </c>
      <c r="BR80" s="546">
        <f t="shared" si="154"/>
        <v>1.2025016420595712E-2</v>
      </c>
      <c r="BS80" s="546">
        <f t="shared" si="155"/>
        <v>5.9505235895731369E-3</v>
      </c>
      <c r="BT80" s="546">
        <f t="shared" si="156"/>
        <v>1.9062848865117634E-2</v>
      </c>
      <c r="BU80" s="546">
        <f t="shared" si="157"/>
        <v>3.709172838309422E-2</v>
      </c>
      <c r="BV80" s="546">
        <f t="shared" si="158"/>
        <v>1.6407614781634938E-2</v>
      </c>
      <c r="BW80" s="472">
        <f t="shared" si="171"/>
        <v>53.499343164729162</v>
      </c>
      <c r="BX80" s="179">
        <f t="shared" si="172"/>
        <v>0.17564262989962232</v>
      </c>
      <c r="BY80" s="6">
        <f t="shared" si="173"/>
        <v>1.98</v>
      </c>
      <c r="BZ80" s="179">
        <f t="shared" si="174"/>
        <v>0.91851959714314924</v>
      </c>
      <c r="CA80" s="6">
        <f t="shared" si="175"/>
        <v>91.85195971431493</v>
      </c>
      <c r="CD80" s="581">
        <f t="shared" si="159"/>
        <v>-50</v>
      </c>
      <c r="CE80">
        <f t="shared" si="160"/>
        <v>-50</v>
      </c>
    </row>
    <row r="81" spans="5:83" x14ac:dyDescent="0.2">
      <c r="E81" s="176">
        <v>76</v>
      </c>
      <c r="F81" s="223">
        <f t="shared" si="161"/>
        <v>8.3600000000000008E-2</v>
      </c>
      <c r="G81" s="223"/>
      <c r="H81" s="223">
        <f t="shared" si="113"/>
        <v>2.0064000000000002</v>
      </c>
      <c r="I81" s="559">
        <f t="shared" si="114"/>
        <v>12</v>
      </c>
      <c r="J81" s="178">
        <f t="shared" si="115"/>
        <v>24.25</v>
      </c>
      <c r="K81" s="454">
        <f t="shared" si="116"/>
        <v>36.25</v>
      </c>
      <c r="L81" s="454"/>
      <c r="M81" s="223">
        <f t="shared" si="117"/>
        <v>0.66896551724137931</v>
      </c>
      <c r="N81" s="178">
        <f t="shared" si="118"/>
        <v>5.528999999999999</v>
      </c>
      <c r="O81" s="178">
        <f t="shared" si="162"/>
        <v>2.0064000000000002</v>
      </c>
      <c r="P81" s="223">
        <f t="shared" si="119"/>
        <v>0.23037499999999997</v>
      </c>
      <c r="Q81" s="223">
        <f t="shared" si="120"/>
        <v>24</v>
      </c>
      <c r="R81" s="223">
        <f t="shared" si="121"/>
        <v>0.24250000000000002</v>
      </c>
      <c r="S81" s="178">
        <f t="shared" si="122"/>
        <v>86.898060537639665</v>
      </c>
      <c r="T81" s="178">
        <f t="shared" si="123"/>
        <v>24</v>
      </c>
      <c r="U81" s="223">
        <f t="shared" si="124"/>
        <v>0.52618556701030939</v>
      </c>
      <c r="V81" s="223">
        <f t="shared" si="125"/>
        <v>2.0608934707903783</v>
      </c>
      <c r="W81" s="223">
        <f t="shared" si="126"/>
        <v>1.0198235731746201</v>
      </c>
      <c r="X81" s="203">
        <f t="shared" si="127"/>
        <v>350</v>
      </c>
      <c r="Y81" s="454">
        <f t="shared" si="163"/>
        <v>324.5997557480847</v>
      </c>
      <c r="AA81" s="223">
        <f t="shared" si="128"/>
        <v>0.48799916151346817</v>
      </c>
      <c r="AB81" s="179">
        <f t="shared" si="129"/>
        <v>0.94581280788177335</v>
      </c>
      <c r="AC81" s="179">
        <f t="shared" si="130"/>
        <v>8.077227500912576E-2</v>
      </c>
      <c r="AD81" s="179"/>
      <c r="AE81" s="179">
        <f t="shared" si="131"/>
        <v>0.56206185567010303</v>
      </c>
      <c r="AF81" s="563">
        <f t="shared" si="176"/>
        <v>1025.779846687075</v>
      </c>
      <c r="AG81" s="546">
        <f t="shared" si="132"/>
        <v>2.8524639175257726E-2</v>
      </c>
      <c r="AI81" s="179">
        <f t="shared" si="133"/>
        <v>0.50936518092425009</v>
      </c>
      <c r="AJ81" s="179">
        <f t="shared" si="134"/>
        <v>0.52618556701030939</v>
      </c>
      <c r="AK81" s="179">
        <f t="shared" si="135"/>
        <v>1.3749522718594884</v>
      </c>
      <c r="AM81" s="563">
        <f t="shared" si="136"/>
        <v>83.600000000000009</v>
      </c>
      <c r="AN81" s="472">
        <f t="shared" si="137"/>
        <v>324.5997557480847</v>
      </c>
      <c r="AP81">
        <f t="shared" si="138"/>
        <v>83.600000000000009</v>
      </c>
      <c r="AQ81">
        <f t="shared" si="139"/>
        <v>324.5997557480847</v>
      </c>
      <c r="AS81" s="6">
        <f t="shared" si="164"/>
        <v>3.0807170439649987</v>
      </c>
      <c r="AT81" s="6">
        <f t="shared" si="140"/>
        <v>2.0608934707903783</v>
      </c>
      <c r="AU81" s="6">
        <f t="shared" si="165"/>
        <v>1.0198235731746204</v>
      </c>
      <c r="AV81" s="6">
        <f t="shared" si="141"/>
        <v>1.0198235731746201</v>
      </c>
      <c r="AW81" s="179">
        <f t="shared" si="166"/>
        <v>0.66896551724137931</v>
      </c>
      <c r="AX81" s="179">
        <f t="shared" si="142"/>
        <v>2.1120000000000005</v>
      </c>
      <c r="AY81" s="179">
        <f t="shared" si="143"/>
        <v>8.7092783505154661E-2</v>
      </c>
      <c r="AZ81" s="179">
        <f t="shared" si="167"/>
        <v>24.25</v>
      </c>
      <c r="BA81" s="472">
        <f t="shared" si="144"/>
        <v>0.71787789232531507</v>
      </c>
      <c r="BB81" s="6">
        <f t="shared" si="145"/>
        <v>0.29914824813122198</v>
      </c>
      <c r="BC81" s="6"/>
      <c r="BD81" s="179">
        <f t="shared" si="168"/>
        <v>0.24847355297739365</v>
      </c>
      <c r="BE81" s="179">
        <f t="shared" si="146"/>
        <v>0.17478933161793356</v>
      </c>
      <c r="BF81" s="179"/>
      <c r="BG81" s="546">
        <f t="shared" si="147"/>
        <v>2.1608687285223378E-2</v>
      </c>
      <c r="BH81" s="546">
        <f t="shared" si="148"/>
        <v>4.6436170212765956E-2</v>
      </c>
      <c r="BI81" s="546">
        <f t="shared" si="149"/>
        <v>4.0574969468510583E-3</v>
      </c>
      <c r="BJ81" s="546">
        <f t="shared" si="150"/>
        <v>2.1327218326885878E-2</v>
      </c>
      <c r="BK81">
        <f t="shared" si="151"/>
        <v>3.48E-3</v>
      </c>
      <c r="BL81" s="546">
        <f t="shared" si="152"/>
        <v>9.7640648352701226E-2</v>
      </c>
      <c r="BM81" s="472">
        <f t="shared" si="169"/>
        <v>97.64064835270122</v>
      </c>
      <c r="BN81" s="546">
        <f t="shared" si="153"/>
        <v>2.5080000000000002E-2</v>
      </c>
      <c r="BO81" s="546"/>
      <c r="BQ81" s="472">
        <f t="shared" si="170"/>
        <v>25.080000000000002</v>
      </c>
      <c r="BR81" s="546">
        <f t="shared" si="154"/>
        <v>1.234782130584193E-2</v>
      </c>
      <c r="BS81" s="546">
        <f t="shared" si="155"/>
        <v>6.1102620894887896E-3</v>
      </c>
      <c r="BT81" s="546">
        <f t="shared" si="156"/>
        <v>1.9062848865117603E-2</v>
      </c>
      <c r="BU81" s="546">
        <f t="shared" si="157"/>
        <v>3.7576419355020554E-2</v>
      </c>
      <c r="BV81" s="546">
        <f t="shared" si="158"/>
        <v>1.662638297872341E-2</v>
      </c>
      <c r="BW81" s="472">
        <f t="shared" si="171"/>
        <v>54.202802333743968</v>
      </c>
      <c r="BX81" s="179">
        <f t="shared" si="172"/>
        <v>0.17692345068644519</v>
      </c>
      <c r="BY81" s="6">
        <f t="shared" si="173"/>
        <v>2.0064000000000002</v>
      </c>
      <c r="BZ81" s="179">
        <f t="shared" si="174"/>
        <v>0.91896599167163273</v>
      </c>
      <c r="CA81" s="6">
        <f t="shared" si="175"/>
        <v>91.896599167163274</v>
      </c>
      <c r="CD81" s="581">
        <f t="shared" si="159"/>
        <v>-50</v>
      </c>
      <c r="CE81">
        <f t="shared" si="160"/>
        <v>-50</v>
      </c>
    </row>
    <row r="82" spans="5:83" x14ac:dyDescent="0.2">
      <c r="E82" s="176">
        <v>77</v>
      </c>
      <c r="F82" s="223">
        <f t="shared" si="161"/>
        <v>8.4699999999999998E-2</v>
      </c>
      <c r="G82" s="223"/>
      <c r="H82" s="223">
        <f t="shared" si="113"/>
        <v>2.0327999999999999</v>
      </c>
      <c r="I82" s="559">
        <f t="shared" si="114"/>
        <v>12</v>
      </c>
      <c r="J82" s="178">
        <f t="shared" si="115"/>
        <v>24.25</v>
      </c>
      <c r="K82" s="454">
        <f t="shared" si="116"/>
        <v>36.25</v>
      </c>
      <c r="L82" s="454"/>
      <c r="M82" s="223">
        <f t="shared" si="117"/>
        <v>0.66896551724137931</v>
      </c>
      <c r="N82" s="178">
        <f t="shared" si="118"/>
        <v>5.528999999999999</v>
      </c>
      <c r="O82" s="178">
        <f t="shared" si="162"/>
        <v>2.0327999999999999</v>
      </c>
      <c r="P82" s="223">
        <f t="shared" si="119"/>
        <v>0.23037499999999997</v>
      </c>
      <c r="Q82" s="223">
        <f t="shared" si="120"/>
        <v>24</v>
      </c>
      <c r="R82" s="223">
        <f t="shared" si="121"/>
        <v>0.24250000000000002</v>
      </c>
      <c r="S82" s="178">
        <f t="shared" si="122"/>
        <v>85.614631750434455</v>
      </c>
      <c r="T82" s="178">
        <f t="shared" si="123"/>
        <v>24</v>
      </c>
      <c r="U82" s="223">
        <f t="shared" si="124"/>
        <v>0.53310906131307656</v>
      </c>
      <c r="V82" s="223">
        <f t="shared" si="125"/>
        <v>2.0880104901428829</v>
      </c>
      <c r="W82" s="223">
        <f t="shared" si="126"/>
        <v>1.0332423044006021</v>
      </c>
      <c r="X82" s="203">
        <f t="shared" si="127"/>
        <v>350</v>
      </c>
      <c r="Y82" s="454">
        <f t="shared" si="163"/>
        <v>320.3841745046031</v>
      </c>
      <c r="AA82" s="223">
        <f t="shared" si="128"/>
        <v>0.48799916151346817</v>
      </c>
      <c r="AB82" s="179">
        <f t="shared" si="129"/>
        <v>0.94581280788177335</v>
      </c>
      <c r="AC82" s="179">
        <f t="shared" si="130"/>
        <v>8.077227500912576E-2</v>
      </c>
      <c r="AD82" s="179"/>
      <c r="AE82" s="179">
        <f t="shared" si="131"/>
        <v>0.56206185567010303</v>
      </c>
      <c r="AF82" s="563">
        <f t="shared" si="176"/>
        <v>1039.2769499329575</v>
      </c>
      <c r="AG82" s="546">
        <f t="shared" si="132"/>
        <v>2.8524639175257726E-2</v>
      </c>
      <c r="AI82" s="179">
        <f t="shared" si="133"/>
        <v>0.51270531626011895</v>
      </c>
      <c r="AJ82" s="179">
        <f t="shared" si="134"/>
        <v>0.53310906131307656</v>
      </c>
      <c r="AK82" s="179">
        <f t="shared" si="135"/>
        <v>1.3800807861578344</v>
      </c>
      <c r="AM82" s="563">
        <f t="shared" si="136"/>
        <v>84.7</v>
      </c>
      <c r="AN82" s="472">
        <f t="shared" si="137"/>
        <v>320.3841745046031</v>
      </c>
      <c r="AP82">
        <f t="shared" si="138"/>
        <v>84.7</v>
      </c>
      <c r="AQ82">
        <f t="shared" si="139"/>
        <v>320.3841745046031</v>
      </c>
      <c r="AS82" s="6">
        <f t="shared" si="164"/>
        <v>3.1212527945434849</v>
      </c>
      <c r="AT82" s="6">
        <f t="shared" si="140"/>
        <v>2.0880104901428829</v>
      </c>
      <c r="AU82" s="6">
        <f t="shared" si="165"/>
        <v>1.0332423044006021</v>
      </c>
      <c r="AV82" s="6">
        <f t="shared" si="141"/>
        <v>1.0332423044006021</v>
      </c>
      <c r="AW82" s="179">
        <f t="shared" si="166"/>
        <v>0.66896551724137931</v>
      </c>
      <c r="AX82" s="179">
        <f t="shared" si="142"/>
        <v>2.1397894736842105</v>
      </c>
      <c r="AY82" s="179">
        <f t="shared" si="143"/>
        <v>8.8238741182854047E-2</v>
      </c>
      <c r="AZ82" s="179">
        <f t="shared" si="167"/>
        <v>24.249999999999996</v>
      </c>
      <c r="BA82" s="472">
        <f t="shared" si="144"/>
        <v>0.73689370214625904</v>
      </c>
      <c r="BB82" s="6">
        <f t="shared" si="145"/>
        <v>0.30707236204467014</v>
      </c>
      <c r="BC82" s="6"/>
      <c r="BD82" s="179">
        <f t="shared" si="168"/>
        <v>0.25174294183235935</v>
      </c>
      <c r="BE82" s="179">
        <f t="shared" si="146"/>
        <v>0.1770891912444853</v>
      </c>
      <c r="BF82" s="179"/>
      <c r="BG82" s="546">
        <f t="shared" si="147"/>
        <v>2.2181078066843728E-2</v>
      </c>
      <c r="BH82" s="546">
        <f t="shared" si="148"/>
        <v>4.6436170212765956E-2</v>
      </c>
      <c r="BI82" s="546">
        <f t="shared" si="149"/>
        <v>4.0048021813075384E-3</v>
      </c>
      <c r="BJ82" s="546">
        <f t="shared" si="150"/>
        <v>2.1050241465497752E-2</v>
      </c>
      <c r="BK82">
        <f t="shared" si="151"/>
        <v>3.48E-3</v>
      </c>
      <c r="BL82" s="546">
        <f t="shared" si="152"/>
        <v>9.7904762825833699E-2</v>
      </c>
      <c r="BM82" s="472">
        <f t="shared" si="169"/>
        <v>97.9047628258337</v>
      </c>
      <c r="BN82" s="546">
        <f t="shared" si="153"/>
        <v>2.5409999999999999E-2</v>
      </c>
      <c r="BO82" s="546"/>
      <c r="BQ82" s="472">
        <f t="shared" si="170"/>
        <v>25.41</v>
      </c>
      <c r="BR82" s="546">
        <f t="shared" si="154"/>
        <v>1.2674901752482133E-2</v>
      </c>
      <c r="BS82" s="546">
        <f t="shared" si="155"/>
        <v>6.2721163311251788E-3</v>
      </c>
      <c r="BT82" s="546">
        <f t="shared" si="156"/>
        <v>1.9062848865117599E-2</v>
      </c>
      <c r="BU82" s="546">
        <f t="shared" si="157"/>
        <v>3.806756830112494E-2</v>
      </c>
      <c r="BV82" s="546">
        <f t="shared" si="158"/>
        <v>1.6845151175811871E-2</v>
      </c>
      <c r="BW82" s="472">
        <f t="shared" si="171"/>
        <v>54.912719476936807</v>
      </c>
      <c r="BX82" s="179">
        <f t="shared" si="172"/>
        <v>0.17822748230277052</v>
      </c>
      <c r="BY82" s="6">
        <f t="shared" si="173"/>
        <v>2.0327999999999999</v>
      </c>
      <c r="BZ82" s="179">
        <f t="shared" si="174"/>
        <v>0.91939155721522381</v>
      </c>
      <c r="CA82" s="6">
        <f t="shared" si="175"/>
        <v>91.939155721522383</v>
      </c>
      <c r="CD82" s="581">
        <f t="shared" si="159"/>
        <v>-50</v>
      </c>
      <c r="CE82">
        <f t="shared" si="160"/>
        <v>-50</v>
      </c>
    </row>
    <row r="83" spans="5:83" x14ac:dyDescent="0.2">
      <c r="E83" s="176">
        <v>78</v>
      </c>
      <c r="F83" s="223">
        <f t="shared" si="161"/>
        <v>8.5800000000000001E-2</v>
      </c>
      <c r="G83" s="223"/>
      <c r="H83" s="223">
        <f t="shared" si="113"/>
        <v>2.0592000000000001</v>
      </c>
      <c r="I83" s="559">
        <f t="shared" si="114"/>
        <v>12</v>
      </c>
      <c r="J83" s="178">
        <f t="shared" si="115"/>
        <v>24.25</v>
      </c>
      <c r="K83" s="454">
        <f t="shared" si="116"/>
        <v>36.25</v>
      </c>
      <c r="L83" s="454"/>
      <c r="M83" s="223">
        <f t="shared" si="117"/>
        <v>0.66896551724137931</v>
      </c>
      <c r="N83" s="178">
        <f t="shared" si="118"/>
        <v>5.528999999999999</v>
      </c>
      <c r="O83" s="178">
        <f t="shared" si="162"/>
        <v>2.0592000000000001</v>
      </c>
      <c r="P83" s="223">
        <f t="shared" si="119"/>
        <v>0.23037499999999997</v>
      </c>
      <c r="Q83" s="223">
        <f t="shared" si="120"/>
        <v>24</v>
      </c>
      <c r="R83" s="223">
        <f t="shared" si="121"/>
        <v>0.24250000000000002</v>
      </c>
      <c r="S83" s="178">
        <f t="shared" si="122"/>
        <v>84.364126401335795</v>
      </c>
      <c r="T83" s="178">
        <f t="shared" si="123"/>
        <v>24</v>
      </c>
      <c r="U83" s="223">
        <f t="shared" si="124"/>
        <v>0.54003255561584385</v>
      </c>
      <c r="V83" s="223">
        <f t="shared" si="125"/>
        <v>2.1151275094953883</v>
      </c>
      <c r="W83" s="223">
        <f t="shared" si="126"/>
        <v>1.046661035626584</v>
      </c>
      <c r="X83" s="203">
        <f t="shared" si="127"/>
        <v>350</v>
      </c>
      <c r="Y83" s="454">
        <f t="shared" si="163"/>
        <v>316.27668508787735</v>
      </c>
      <c r="AA83" s="223">
        <f t="shared" si="128"/>
        <v>0.48799916151346817</v>
      </c>
      <c r="AB83" s="179">
        <f t="shared" si="129"/>
        <v>0.94581280788177335</v>
      </c>
      <c r="AC83" s="179">
        <f t="shared" si="130"/>
        <v>8.077227500912576E-2</v>
      </c>
      <c r="AD83" s="179"/>
      <c r="AE83" s="179">
        <f t="shared" si="131"/>
        <v>0.56206185567010303</v>
      </c>
      <c r="AF83" s="563">
        <f t="shared" si="176"/>
        <v>1052.7740531788402</v>
      </c>
      <c r="AG83" s="546">
        <f t="shared" si="132"/>
        <v>2.8524639175257726E-2</v>
      </c>
      <c r="AI83" s="179">
        <f t="shared" si="133"/>
        <v>0.51602383191552625</v>
      </c>
      <c r="AJ83" s="179">
        <f t="shared" si="134"/>
        <v>0.54003255561584385</v>
      </c>
      <c r="AK83" s="179">
        <f t="shared" si="135"/>
        <v>1.3852093004561805</v>
      </c>
      <c r="AM83" s="563">
        <f t="shared" si="136"/>
        <v>85.8</v>
      </c>
      <c r="AN83" s="472">
        <f t="shared" si="137"/>
        <v>316.27668508787735</v>
      </c>
      <c r="AP83">
        <f t="shared" si="138"/>
        <v>85.8</v>
      </c>
      <c r="AQ83">
        <f t="shared" si="139"/>
        <v>316.27668508787735</v>
      </c>
      <c r="AS83" s="6">
        <f t="shared" si="164"/>
        <v>3.1617885451219725</v>
      </c>
      <c r="AT83" s="6">
        <f t="shared" si="140"/>
        <v>2.1151275094953883</v>
      </c>
      <c r="AU83" s="6">
        <f t="shared" si="165"/>
        <v>1.0466610356265842</v>
      </c>
      <c r="AV83" s="6">
        <f t="shared" si="141"/>
        <v>1.046661035626584</v>
      </c>
      <c r="AW83" s="179">
        <f t="shared" si="166"/>
        <v>0.6689655172413792</v>
      </c>
      <c r="AX83" s="179">
        <f t="shared" si="142"/>
        <v>2.1675789473684213</v>
      </c>
      <c r="AY83" s="179">
        <f t="shared" si="143"/>
        <v>8.9384698860553488E-2</v>
      </c>
      <c r="AZ83" s="179">
        <f t="shared" si="167"/>
        <v>24.249999999999989</v>
      </c>
      <c r="BA83" s="472">
        <f t="shared" si="144"/>
        <v>0.75615808464460132</v>
      </c>
      <c r="BB83" s="6">
        <f t="shared" si="145"/>
        <v>0.31510005914652955</v>
      </c>
      <c r="BC83" s="6"/>
      <c r="BD83" s="179">
        <f t="shared" si="168"/>
        <v>0.25501233068732504</v>
      </c>
      <c r="BE83" s="179">
        <f t="shared" si="146"/>
        <v>0.17938905087103713</v>
      </c>
      <c r="BF83" s="179"/>
      <c r="BG83" s="546">
        <f t="shared" si="147"/>
        <v>2.2760951080903567E-2</v>
      </c>
      <c r="BH83" s="546">
        <f t="shared" si="148"/>
        <v>4.643617021276595E-2</v>
      </c>
      <c r="BI83" s="546">
        <f t="shared" si="149"/>
        <v>3.9534585635984673E-3</v>
      </c>
      <c r="BJ83" s="546">
        <f t="shared" si="150"/>
        <v>2.0780366574914444E-2</v>
      </c>
      <c r="BK83">
        <f t="shared" si="151"/>
        <v>3.48E-3</v>
      </c>
      <c r="BL83" s="546">
        <f t="shared" si="152"/>
        <v>9.8185301459414107E-2</v>
      </c>
      <c r="BM83" s="472">
        <f t="shared" si="169"/>
        <v>98.185301459414106</v>
      </c>
      <c r="BN83" s="546">
        <f t="shared" si="153"/>
        <v>2.5739999999999999E-2</v>
      </c>
      <c r="BO83" s="546"/>
      <c r="BQ83" s="472">
        <f t="shared" si="170"/>
        <v>25.74</v>
      </c>
      <c r="BR83" s="546">
        <f t="shared" si="154"/>
        <v>1.3006257760516324E-2</v>
      </c>
      <c r="BS83" s="546">
        <f t="shared" si="155"/>
        <v>6.4360863144823088E-3</v>
      </c>
      <c r="BT83" s="546">
        <f t="shared" si="156"/>
        <v>1.9062848865117596E-2</v>
      </c>
      <c r="BU83" s="546">
        <f t="shared" si="157"/>
        <v>3.8565176734947748E-2</v>
      </c>
      <c r="BV83" s="546">
        <f t="shared" si="158"/>
        <v>1.7063919372900339E-2</v>
      </c>
      <c r="BW83" s="472">
        <f t="shared" si="171"/>
        <v>55.629096107848085</v>
      </c>
      <c r="BX83" s="179">
        <f t="shared" si="172"/>
        <v>0.17955439756726219</v>
      </c>
      <c r="BY83" s="6">
        <f t="shared" si="173"/>
        <v>2.0592000000000001</v>
      </c>
      <c r="BZ83" s="179">
        <f t="shared" si="174"/>
        <v>0.91979718822110423</v>
      </c>
      <c r="CA83" s="6">
        <f t="shared" si="175"/>
        <v>91.979718822110428</v>
      </c>
      <c r="CD83" s="581">
        <f t="shared" si="159"/>
        <v>-50</v>
      </c>
      <c r="CE83">
        <f t="shared" si="160"/>
        <v>-50</v>
      </c>
    </row>
    <row r="84" spans="5:83" x14ac:dyDescent="0.2">
      <c r="E84" s="176">
        <v>79</v>
      </c>
      <c r="F84" s="223">
        <f t="shared" si="161"/>
        <v>8.6900000000000005E-2</v>
      </c>
      <c r="G84" s="223"/>
      <c r="H84" s="223">
        <f t="shared" si="113"/>
        <v>2.0856000000000003</v>
      </c>
      <c r="I84" s="559">
        <f t="shared" si="114"/>
        <v>12</v>
      </c>
      <c r="J84" s="178">
        <f t="shared" si="115"/>
        <v>24.25</v>
      </c>
      <c r="K84" s="454">
        <f t="shared" si="116"/>
        <v>36.25</v>
      </c>
      <c r="L84" s="454"/>
      <c r="M84" s="223">
        <f t="shared" si="117"/>
        <v>0.66896551724137931</v>
      </c>
      <c r="N84" s="178">
        <f t="shared" si="118"/>
        <v>5.528999999999999</v>
      </c>
      <c r="O84" s="178">
        <f t="shared" si="162"/>
        <v>2.0856000000000003</v>
      </c>
      <c r="P84" s="223">
        <f t="shared" si="119"/>
        <v>0.23037499999999997</v>
      </c>
      <c r="Q84" s="223">
        <f t="shared" si="120"/>
        <v>24</v>
      </c>
      <c r="R84" s="223">
        <f t="shared" si="121"/>
        <v>0.24250000000000002</v>
      </c>
      <c r="S84" s="178">
        <f t="shared" si="122"/>
        <v>83.14529431143302</v>
      </c>
      <c r="T84" s="178">
        <f t="shared" si="123"/>
        <v>24</v>
      </c>
      <c r="U84" s="223">
        <f t="shared" si="124"/>
        <v>0.54695604991861113</v>
      </c>
      <c r="V84" s="223">
        <f t="shared" si="125"/>
        <v>2.1422445288478933</v>
      </c>
      <c r="W84" s="223">
        <f t="shared" si="126"/>
        <v>1.0600797668525659</v>
      </c>
      <c r="X84" s="203">
        <f t="shared" si="127"/>
        <v>350</v>
      </c>
      <c r="Y84" s="454">
        <f t="shared" si="163"/>
        <v>312.27318274499282</v>
      </c>
      <c r="AA84" s="223">
        <f t="shared" si="128"/>
        <v>0.48799916151346817</v>
      </c>
      <c r="AB84" s="179">
        <f t="shared" si="129"/>
        <v>0.94581280788177335</v>
      </c>
      <c r="AC84" s="179">
        <f t="shared" si="130"/>
        <v>8.077227500912576E-2</v>
      </c>
      <c r="AD84" s="179"/>
      <c r="AE84" s="179">
        <f t="shared" si="131"/>
        <v>0.56206185567010303</v>
      </c>
      <c r="AF84" s="563">
        <f t="shared" si="176"/>
        <v>1066.2711564247227</v>
      </c>
      <c r="AG84" s="546">
        <f t="shared" si="132"/>
        <v>2.8524639175257726E-2</v>
      </c>
      <c r="AI84" s="179">
        <f t="shared" si="133"/>
        <v>0.51932114234660032</v>
      </c>
      <c r="AJ84" s="179">
        <f t="shared" si="134"/>
        <v>0.54695604991861113</v>
      </c>
      <c r="AK84" s="179">
        <f t="shared" si="135"/>
        <v>1.3903378147545267</v>
      </c>
      <c r="AM84" s="563">
        <f t="shared" si="136"/>
        <v>86.9</v>
      </c>
      <c r="AN84" s="472">
        <f t="shared" si="137"/>
        <v>312.27318274499282</v>
      </c>
      <c r="AP84">
        <f t="shared" si="138"/>
        <v>86.9</v>
      </c>
      <c r="AQ84">
        <f t="shared" si="139"/>
        <v>312.27318274499282</v>
      </c>
      <c r="AS84" s="6">
        <f t="shared" si="164"/>
        <v>3.2023242957004592</v>
      </c>
      <c r="AT84" s="6">
        <f t="shared" si="140"/>
        <v>2.1422445288478933</v>
      </c>
      <c r="AU84" s="6">
        <f t="shared" si="165"/>
        <v>1.0600797668525659</v>
      </c>
      <c r="AV84" s="6">
        <f t="shared" si="141"/>
        <v>1.0600797668525659</v>
      </c>
      <c r="AW84" s="179">
        <f t="shared" si="166"/>
        <v>0.66896551724137931</v>
      </c>
      <c r="AX84" s="179">
        <f t="shared" si="142"/>
        <v>2.1953684210526321</v>
      </c>
      <c r="AY84" s="179">
        <f t="shared" si="143"/>
        <v>9.0530656538252874E-2</v>
      </c>
      <c r="AZ84" s="179">
        <f t="shared" si="167"/>
        <v>24.25</v>
      </c>
      <c r="BA84" s="472">
        <f t="shared" si="144"/>
        <v>0.77567103982034136</v>
      </c>
      <c r="BB84" s="6">
        <f t="shared" si="145"/>
        <v>0.32323133943679994</v>
      </c>
      <c r="BC84" s="6"/>
      <c r="BD84" s="179">
        <f t="shared" si="168"/>
        <v>0.25828171954229079</v>
      </c>
      <c r="BE84" s="179">
        <f t="shared" si="146"/>
        <v>0.18168891049758887</v>
      </c>
      <c r="BF84" s="179"/>
      <c r="BG84" s="546">
        <f t="shared" si="147"/>
        <v>2.3348306327402896E-2</v>
      </c>
      <c r="BH84" s="546">
        <f t="shared" si="148"/>
        <v>4.643617021276595E-2</v>
      </c>
      <c r="BI84" s="546">
        <f t="shared" si="149"/>
        <v>3.9034147843124102E-3</v>
      </c>
      <c r="BJ84" s="546">
        <f t="shared" si="150"/>
        <v>2.0517323960042109E-2</v>
      </c>
      <c r="BK84">
        <f t="shared" si="151"/>
        <v>3.48E-3</v>
      </c>
      <c r="BL84" s="546">
        <f t="shared" si="152"/>
        <v>9.8481952811403012E-2</v>
      </c>
      <c r="BM84" s="472">
        <f t="shared" si="169"/>
        <v>98.481952811403005</v>
      </c>
      <c r="BN84" s="546">
        <f t="shared" si="153"/>
        <v>2.6069999999999999E-2</v>
      </c>
      <c r="BO84" s="546"/>
      <c r="BQ84" s="472">
        <f t="shared" si="170"/>
        <v>26.07</v>
      </c>
      <c r="BR84" s="546">
        <f t="shared" si="154"/>
        <v>1.3341889329944512E-2</v>
      </c>
      <c r="BS84" s="546">
        <f t="shared" si="155"/>
        <v>6.602172039560171E-3</v>
      </c>
      <c r="BT84" s="546">
        <f t="shared" si="156"/>
        <v>1.9062848865117613E-2</v>
      </c>
      <c r="BU84" s="546">
        <f t="shared" si="157"/>
        <v>3.9069246190116376E-2</v>
      </c>
      <c r="BV84" s="546">
        <f t="shared" si="158"/>
        <v>1.7282687569988808E-2</v>
      </c>
      <c r="BW84" s="472">
        <f t="shared" si="171"/>
        <v>56.351933760105183</v>
      </c>
      <c r="BX84" s="179">
        <f t="shared" si="172"/>
        <v>0.18090388657150819</v>
      </c>
      <c r="BY84" s="6">
        <f t="shared" si="173"/>
        <v>2.0856000000000003</v>
      </c>
      <c r="BZ84" s="179">
        <f t="shared" si="174"/>
        <v>0.92018372982136931</v>
      </c>
      <c r="CA84" s="6">
        <f t="shared" si="175"/>
        <v>92.018372982136924</v>
      </c>
      <c r="CD84" s="581">
        <f t="shared" si="159"/>
        <v>-50</v>
      </c>
      <c r="CE84">
        <f t="shared" si="160"/>
        <v>-50</v>
      </c>
    </row>
    <row r="85" spans="5:83" x14ac:dyDescent="0.2">
      <c r="E85" s="176">
        <v>80</v>
      </c>
      <c r="F85" s="223">
        <f t="shared" si="161"/>
        <v>8.8000000000000009E-2</v>
      </c>
      <c r="G85" s="223"/>
      <c r="H85" s="223">
        <f t="shared" si="113"/>
        <v>2.1120000000000001</v>
      </c>
      <c r="I85" s="559">
        <f t="shared" si="114"/>
        <v>12</v>
      </c>
      <c r="J85" s="178">
        <f t="shared" si="115"/>
        <v>24.25</v>
      </c>
      <c r="K85" s="454">
        <f t="shared" si="116"/>
        <v>36.25</v>
      </c>
      <c r="L85" s="454"/>
      <c r="M85" s="223">
        <f t="shared" si="117"/>
        <v>0.66896551724137931</v>
      </c>
      <c r="N85" s="178">
        <f t="shared" si="118"/>
        <v>5.528999999999999</v>
      </c>
      <c r="O85" s="178">
        <f t="shared" si="162"/>
        <v>2.1120000000000001</v>
      </c>
      <c r="P85" s="223">
        <f t="shared" si="119"/>
        <v>0.23037499999999997</v>
      </c>
      <c r="Q85" s="223">
        <f t="shared" si="120"/>
        <v>24</v>
      </c>
      <c r="R85" s="223">
        <f t="shared" si="121"/>
        <v>0.24250000000000002</v>
      </c>
      <c r="S85" s="178">
        <f t="shared" si="122"/>
        <v>81.956947811289993</v>
      </c>
      <c r="T85" s="178">
        <f t="shared" si="123"/>
        <v>24</v>
      </c>
      <c r="U85" s="223">
        <f t="shared" si="124"/>
        <v>0.55387954422137831</v>
      </c>
      <c r="V85" s="223">
        <f t="shared" si="125"/>
        <v>2.1693615482003978</v>
      </c>
      <c r="W85" s="223">
        <f t="shared" si="126"/>
        <v>1.0734984980785476</v>
      </c>
      <c r="X85" s="203">
        <f t="shared" si="127"/>
        <v>350</v>
      </c>
      <c r="Y85" s="454">
        <f t="shared" si="163"/>
        <v>308.36976796068052</v>
      </c>
      <c r="AA85" s="223">
        <f t="shared" si="128"/>
        <v>0.48799916151346817</v>
      </c>
      <c r="AB85" s="179">
        <f t="shared" si="129"/>
        <v>0.94581280788177335</v>
      </c>
      <c r="AC85" s="179">
        <f t="shared" si="130"/>
        <v>8.077227500912576E-2</v>
      </c>
      <c r="AD85" s="179"/>
      <c r="AE85" s="179">
        <f t="shared" si="131"/>
        <v>0.56206185567010303</v>
      </c>
      <c r="AF85" s="563">
        <f t="shared" si="176"/>
        <v>1079.7682596706052</v>
      </c>
      <c r="AG85" s="546">
        <f t="shared" si="132"/>
        <v>2.8524639175257726E-2</v>
      </c>
      <c r="AI85" s="179">
        <f t="shared" si="133"/>
        <v>0.52259764893421845</v>
      </c>
      <c r="AJ85" s="179">
        <f t="shared" si="134"/>
        <v>0.55387954422137831</v>
      </c>
      <c r="AK85" s="179">
        <f t="shared" si="135"/>
        <v>1.3954663290528728</v>
      </c>
      <c r="AM85" s="563">
        <f t="shared" si="136"/>
        <v>88.000000000000014</v>
      </c>
      <c r="AN85" s="472">
        <f t="shared" si="137"/>
        <v>308.36976796068052</v>
      </c>
      <c r="AP85">
        <f t="shared" si="138"/>
        <v>88.000000000000014</v>
      </c>
      <c r="AQ85">
        <f t="shared" si="139"/>
        <v>308.36976796068052</v>
      </c>
      <c r="AS85" s="6">
        <f t="shared" si="164"/>
        <v>3.2428600462789454</v>
      </c>
      <c r="AT85" s="6">
        <f t="shared" si="140"/>
        <v>2.1693615482003978</v>
      </c>
      <c r="AU85" s="6">
        <f t="shared" si="165"/>
        <v>1.0734984980785476</v>
      </c>
      <c r="AV85" s="6">
        <f t="shared" si="141"/>
        <v>1.0734984980785476</v>
      </c>
      <c r="AW85" s="179">
        <f t="shared" si="166"/>
        <v>0.66896551724137931</v>
      </c>
      <c r="AX85" s="179">
        <f t="shared" si="142"/>
        <v>2.2231578947368433</v>
      </c>
      <c r="AY85" s="179">
        <f t="shared" si="143"/>
        <v>9.1676614215952273E-2</v>
      </c>
      <c r="AZ85" s="179">
        <f t="shared" si="167"/>
        <v>24.250000000000007</v>
      </c>
      <c r="BA85" s="472">
        <f t="shared" si="144"/>
        <v>0.79543256767347925</v>
      </c>
      <c r="BB85" s="6">
        <f t="shared" si="145"/>
        <v>0.3314662029154814</v>
      </c>
      <c r="BC85" s="6"/>
      <c r="BD85" s="179">
        <f t="shared" si="168"/>
        <v>0.26155110839725648</v>
      </c>
      <c r="BE85" s="179">
        <f t="shared" si="146"/>
        <v>0.18398877012414061</v>
      </c>
      <c r="BF85" s="179"/>
      <c r="BG85" s="546">
        <f t="shared" si="147"/>
        <v>2.3943143806341691E-2</v>
      </c>
      <c r="BH85" s="546">
        <f t="shared" si="148"/>
        <v>4.6436170212765963E-2</v>
      </c>
      <c r="BI85" s="546">
        <f t="shared" si="149"/>
        <v>3.8546220995085063E-3</v>
      </c>
      <c r="BJ85" s="546">
        <f t="shared" si="150"/>
        <v>2.026085741054159E-2</v>
      </c>
      <c r="BK85">
        <f t="shared" si="151"/>
        <v>3.48E-3</v>
      </c>
      <c r="BL85" s="546">
        <f t="shared" si="152"/>
        <v>9.8794421622967185E-2</v>
      </c>
      <c r="BM85" s="472">
        <f t="shared" si="169"/>
        <v>98.794421622967178</v>
      </c>
      <c r="BN85" s="546">
        <f t="shared" si="153"/>
        <v>2.6400000000000003E-2</v>
      </c>
      <c r="BO85" s="546"/>
      <c r="BQ85" s="472">
        <f t="shared" si="170"/>
        <v>26.400000000000002</v>
      </c>
      <c r="BR85" s="546">
        <f t="shared" si="154"/>
        <v>1.3681796460766683E-2</v>
      </c>
      <c r="BS85" s="546">
        <f t="shared" si="155"/>
        <v>6.7703735063587723E-3</v>
      </c>
      <c r="BT85" s="546">
        <f t="shared" si="156"/>
        <v>1.9062848865117641E-2</v>
      </c>
      <c r="BU85" s="546">
        <f t="shared" si="157"/>
        <v>3.9579778220356999E-2</v>
      </c>
      <c r="BV85" s="546">
        <f t="shared" si="158"/>
        <v>1.7501455767077279E-2</v>
      </c>
      <c r="BW85" s="472">
        <f t="shared" si="171"/>
        <v>57.081233987434281</v>
      </c>
      <c r="BX85" s="179">
        <f t="shared" si="172"/>
        <v>0.18227565561040146</v>
      </c>
      <c r="BY85" s="6">
        <f t="shared" si="173"/>
        <v>2.1120000000000001</v>
      </c>
      <c r="BZ85" s="179">
        <f t="shared" si="174"/>
        <v>0.92055198111671277</v>
      </c>
      <c r="CA85" s="6">
        <f t="shared" si="175"/>
        <v>92.055198111671274</v>
      </c>
      <c r="CD85" s="581">
        <f t="shared" si="159"/>
        <v>-50</v>
      </c>
      <c r="CE85">
        <f t="shared" si="160"/>
        <v>-50</v>
      </c>
    </row>
    <row r="86" spans="5:83" x14ac:dyDescent="0.2">
      <c r="E86" s="176">
        <v>81</v>
      </c>
      <c r="F86" s="223">
        <f t="shared" si="161"/>
        <v>8.9100000000000013E-2</v>
      </c>
      <c r="G86" s="223"/>
      <c r="H86" s="223">
        <f t="shared" si="113"/>
        <v>2.1384000000000003</v>
      </c>
      <c r="I86" s="559">
        <f t="shared" si="114"/>
        <v>12</v>
      </c>
      <c r="J86" s="178">
        <f t="shared" si="115"/>
        <v>24.25</v>
      </c>
      <c r="K86" s="454">
        <f t="shared" si="116"/>
        <v>36.25</v>
      </c>
      <c r="L86" s="454"/>
      <c r="M86" s="223">
        <f t="shared" si="117"/>
        <v>0.66896551724137931</v>
      </c>
      <c r="N86" s="178">
        <f t="shared" si="118"/>
        <v>5.528999999999999</v>
      </c>
      <c r="O86" s="178">
        <f t="shared" si="162"/>
        <v>2.1384000000000003</v>
      </c>
      <c r="P86" s="223">
        <f t="shared" si="119"/>
        <v>0.23037499999999997</v>
      </c>
      <c r="Q86" s="223">
        <f t="shared" si="120"/>
        <v>24</v>
      </c>
      <c r="R86" s="223">
        <f t="shared" si="121"/>
        <v>0.24250000000000002</v>
      </c>
      <c r="S86" s="178">
        <f t="shared" si="122"/>
        <v>80.797957882339816</v>
      </c>
      <c r="T86" s="178">
        <f t="shared" si="123"/>
        <v>24</v>
      </c>
      <c r="U86" s="223">
        <f t="shared" si="124"/>
        <v>0.56080303852414559</v>
      </c>
      <c r="V86" s="223">
        <f t="shared" si="125"/>
        <v>2.1964785675529037</v>
      </c>
      <c r="W86" s="223">
        <f t="shared" si="126"/>
        <v>1.0869172293045295</v>
      </c>
      <c r="X86" s="203">
        <f t="shared" si="127"/>
        <v>350</v>
      </c>
      <c r="Y86" s="454">
        <f t="shared" si="163"/>
        <v>304.56273378832634</v>
      </c>
      <c r="AA86" s="223">
        <f t="shared" si="128"/>
        <v>0.48799916151346817</v>
      </c>
      <c r="AB86" s="179">
        <f t="shared" si="129"/>
        <v>0.94581280788177335</v>
      </c>
      <c r="AC86" s="179">
        <f t="shared" si="130"/>
        <v>8.077227500912576E-2</v>
      </c>
      <c r="AD86" s="179"/>
      <c r="AE86" s="179">
        <f t="shared" si="131"/>
        <v>0.56206185567010303</v>
      </c>
      <c r="AF86" s="563">
        <f t="shared" si="176"/>
        <v>1093.2653629164877</v>
      </c>
      <c r="AG86" s="546">
        <f t="shared" si="132"/>
        <v>2.8524639175257726E-2</v>
      </c>
      <c r="AI86" s="179">
        <f t="shared" si="133"/>
        <v>0.52585374055431733</v>
      </c>
      <c r="AJ86" s="179">
        <f t="shared" si="134"/>
        <v>0.56080303852414559</v>
      </c>
      <c r="AK86" s="179">
        <f t="shared" si="135"/>
        <v>1.400594843351219</v>
      </c>
      <c r="AM86" s="563">
        <f t="shared" si="136"/>
        <v>89.100000000000009</v>
      </c>
      <c r="AN86" s="472">
        <f t="shared" si="137"/>
        <v>304.56273378832634</v>
      </c>
      <c r="AP86">
        <f t="shared" si="138"/>
        <v>89.100000000000009</v>
      </c>
      <c r="AQ86">
        <f t="shared" si="139"/>
        <v>304.56273378832634</v>
      </c>
      <c r="AS86" s="6">
        <f t="shared" si="164"/>
        <v>3.283395796857433</v>
      </c>
      <c r="AT86" s="6">
        <f t="shared" si="140"/>
        <v>2.1964785675529037</v>
      </c>
      <c r="AU86" s="6">
        <f t="shared" si="165"/>
        <v>1.0869172293045293</v>
      </c>
      <c r="AV86" s="6">
        <f t="shared" si="141"/>
        <v>1.0869172293045295</v>
      </c>
      <c r="AW86" s="179">
        <f t="shared" si="166"/>
        <v>0.66896551724137943</v>
      </c>
      <c r="AX86" s="179">
        <f t="shared" si="142"/>
        <v>2.2509473684210533</v>
      </c>
      <c r="AY86" s="179">
        <f t="shared" si="143"/>
        <v>9.2822571893651645E-2</v>
      </c>
      <c r="AZ86" s="179">
        <f t="shared" si="167"/>
        <v>24.250000000000011</v>
      </c>
      <c r="BA86" s="472">
        <f t="shared" si="144"/>
        <v>0.81544266820401567</v>
      </c>
      <c r="BB86" s="6">
        <f t="shared" si="145"/>
        <v>0.33980464958257389</v>
      </c>
      <c r="BC86" s="6"/>
      <c r="BD86" s="179">
        <f t="shared" si="168"/>
        <v>0.26482049725222223</v>
      </c>
      <c r="BE86" s="179">
        <f t="shared" si="146"/>
        <v>0.18628862975069235</v>
      </c>
      <c r="BF86" s="179"/>
      <c r="BG86" s="546">
        <f t="shared" si="147"/>
        <v>2.4545463517719981E-2</v>
      </c>
      <c r="BH86" s="546">
        <f t="shared" si="148"/>
        <v>4.6436170212765956E-2</v>
      </c>
      <c r="BI86" s="546">
        <f t="shared" si="149"/>
        <v>3.8070341723540793E-3</v>
      </c>
      <c r="BJ86" s="546">
        <f t="shared" si="150"/>
        <v>2.001072336843613E-2</v>
      </c>
      <c r="BK86">
        <f t="shared" si="151"/>
        <v>3.48E-3</v>
      </c>
      <c r="BL86" s="546">
        <f t="shared" si="152"/>
        <v>9.9122427828114978E-2</v>
      </c>
      <c r="BM86" s="472">
        <f t="shared" si="169"/>
        <v>99.122427828114979</v>
      </c>
      <c r="BN86" s="546">
        <f t="shared" si="153"/>
        <v>2.6730000000000004E-2</v>
      </c>
      <c r="BO86" s="546"/>
      <c r="BQ86" s="472">
        <f t="shared" si="170"/>
        <v>26.730000000000004</v>
      </c>
      <c r="BR86" s="546">
        <f t="shared" si="154"/>
        <v>1.402597915298285E-2</v>
      </c>
      <c r="BS86" s="546">
        <f t="shared" si="155"/>
        <v>6.9406907148781075E-3</v>
      </c>
      <c r="BT86" s="546">
        <f t="shared" si="156"/>
        <v>1.9062848865117599E-2</v>
      </c>
      <c r="BU86" s="546">
        <f t="shared" si="157"/>
        <v>4.0096774399506596E-2</v>
      </c>
      <c r="BV86" s="546">
        <f t="shared" si="158"/>
        <v>1.7720223964165737E-2</v>
      </c>
      <c r="BW86" s="472">
        <f t="shared" si="171"/>
        <v>57.81699836367234</v>
      </c>
      <c r="BX86" s="179">
        <f t="shared" si="172"/>
        <v>0.18366942619178731</v>
      </c>
      <c r="BY86" s="6">
        <f t="shared" si="173"/>
        <v>2.1384000000000003</v>
      </c>
      <c r="BZ86" s="179">
        <f t="shared" si="174"/>
        <v>0.92090269820527859</v>
      </c>
      <c r="CA86" s="6">
        <f t="shared" si="175"/>
        <v>92.090269820527865</v>
      </c>
      <c r="CD86" s="581">
        <f t="shared" si="159"/>
        <v>-50</v>
      </c>
      <c r="CE86">
        <f t="shared" si="160"/>
        <v>-50</v>
      </c>
    </row>
    <row r="87" spans="5:83" x14ac:dyDescent="0.2">
      <c r="E87" s="176">
        <v>82</v>
      </c>
      <c r="F87" s="223">
        <f t="shared" si="161"/>
        <v>9.0199999999999989E-2</v>
      </c>
      <c r="G87" s="223"/>
      <c r="H87" s="223">
        <f t="shared" si="113"/>
        <v>2.1647999999999996</v>
      </c>
      <c r="I87" s="559">
        <f t="shared" si="114"/>
        <v>12</v>
      </c>
      <c r="J87" s="178">
        <f t="shared" si="115"/>
        <v>24.25</v>
      </c>
      <c r="K87" s="454">
        <f t="shared" si="116"/>
        <v>36.25</v>
      </c>
      <c r="L87" s="454"/>
      <c r="M87" s="223">
        <f t="shared" si="117"/>
        <v>0.66896551724137931</v>
      </c>
      <c r="N87" s="178">
        <f t="shared" si="118"/>
        <v>5.528999999999999</v>
      </c>
      <c r="O87" s="178">
        <f t="shared" si="162"/>
        <v>2.1647999999999996</v>
      </c>
      <c r="P87" s="223">
        <f t="shared" si="119"/>
        <v>0.23037499999999997</v>
      </c>
      <c r="Q87" s="223">
        <f t="shared" si="120"/>
        <v>24</v>
      </c>
      <c r="R87" s="223">
        <f t="shared" si="121"/>
        <v>0.24250000000000002</v>
      </c>
      <c r="S87" s="178">
        <f t="shared" si="122"/>
        <v>79.667250580616724</v>
      </c>
      <c r="T87" s="178">
        <f t="shared" si="123"/>
        <v>24</v>
      </c>
      <c r="U87" s="223">
        <f t="shared" si="124"/>
        <v>0.56772653282691266</v>
      </c>
      <c r="V87" s="223">
        <f t="shared" si="125"/>
        <v>2.2235955869054074</v>
      </c>
      <c r="W87" s="223">
        <f t="shared" si="126"/>
        <v>1.100335960530511</v>
      </c>
      <c r="X87" s="203">
        <f t="shared" si="127"/>
        <v>350</v>
      </c>
      <c r="Y87" s="454">
        <f t="shared" si="163"/>
        <v>300.84855410798104</v>
      </c>
      <c r="AA87" s="223">
        <f t="shared" si="128"/>
        <v>0.48799916151346817</v>
      </c>
      <c r="AB87" s="179">
        <f t="shared" si="129"/>
        <v>0.94581280788177335</v>
      </c>
      <c r="AC87" s="179">
        <f t="shared" si="130"/>
        <v>8.077227500912576E-2</v>
      </c>
      <c r="AD87" s="179"/>
      <c r="AE87" s="179">
        <f t="shared" si="131"/>
        <v>0.56206185567010303</v>
      </c>
      <c r="AF87" s="563">
        <f t="shared" si="176"/>
        <v>1106.7624661623699</v>
      </c>
      <c r="AG87" s="546">
        <f t="shared" si="132"/>
        <v>2.8524639175257726E-2</v>
      </c>
      <c r="AI87" s="179">
        <f t="shared" si="133"/>
        <v>0.52908979411661483</v>
      </c>
      <c r="AJ87" s="179">
        <f t="shared" si="134"/>
        <v>0.56772653282691266</v>
      </c>
      <c r="AK87" s="179">
        <f t="shared" si="135"/>
        <v>1.4057233576495649</v>
      </c>
      <c r="AM87" s="563">
        <f t="shared" si="136"/>
        <v>90.199999999999989</v>
      </c>
      <c r="AN87" s="472">
        <f t="shared" si="137"/>
        <v>300.84855410798104</v>
      </c>
      <c r="AP87">
        <f t="shared" si="138"/>
        <v>90.199999999999989</v>
      </c>
      <c r="AQ87">
        <f t="shared" si="139"/>
        <v>300.84855410798104</v>
      </c>
      <c r="AS87" s="6">
        <f t="shared" si="164"/>
        <v>3.3239315474359183</v>
      </c>
      <c r="AT87" s="6">
        <f t="shared" si="140"/>
        <v>2.2235955869054074</v>
      </c>
      <c r="AU87" s="6">
        <f t="shared" si="165"/>
        <v>1.100335960530511</v>
      </c>
      <c r="AV87" s="6">
        <f t="shared" si="141"/>
        <v>1.100335960530511</v>
      </c>
      <c r="AW87" s="179">
        <f t="shared" si="166"/>
        <v>0.66896551724137931</v>
      </c>
      <c r="AX87" s="179">
        <f t="shared" si="142"/>
        <v>2.2787368421052641</v>
      </c>
      <c r="AY87" s="179">
        <f t="shared" si="143"/>
        <v>9.3968529571351059E-2</v>
      </c>
      <c r="AZ87" s="179">
        <f t="shared" si="167"/>
        <v>24.250000000000011</v>
      </c>
      <c r="BA87" s="472">
        <f t="shared" si="144"/>
        <v>0.83570134141194885</v>
      </c>
      <c r="BB87" s="6">
        <f t="shared" si="145"/>
        <v>0.34824667943807741</v>
      </c>
      <c r="BC87" s="6"/>
      <c r="BD87" s="179">
        <f t="shared" si="168"/>
        <v>0.26808988610718781</v>
      </c>
      <c r="BE87" s="179">
        <f t="shared" si="146"/>
        <v>0.1885884893772441</v>
      </c>
      <c r="BF87" s="179"/>
      <c r="BG87" s="546">
        <f t="shared" si="147"/>
        <v>2.5155265461537728E-2</v>
      </c>
      <c r="BH87" s="546">
        <f t="shared" si="148"/>
        <v>4.6436170212765963E-2</v>
      </c>
      <c r="BI87" s="546">
        <f t="shared" si="149"/>
        <v>3.7606069263497626E-3</v>
      </c>
      <c r="BJ87" s="546">
        <f t="shared" si="150"/>
        <v>1.9766690156625945E-2</v>
      </c>
      <c r="BK87">
        <f t="shared" si="151"/>
        <v>3.48E-3</v>
      </c>
      <c r="BL87" s="546">
        <f t="shared" si="152"/>
        <v>9.9465705635831819E-2</v>
      </c>
      <c r="BM87" s="472">
        <f t="shared" si="169"/>
        <v>99.465705635831824</v>
      </c>
      <c r="BN87" s="546">
        <f t="shared" si="153"/>
        <v>2.7059999999999997E-2</v>
      </c>
      <c r="BO87" s="546"/>
      <c r="BQ87" s="472">
        <f t="shared" si="170"/>
        <v>27.06</v>
      </c>
      <c r="BR87" s="546">
        <f t="shared" si="154"/>
        <v>1.4374437406592989E-2</v>
      </c>
      <c r="BS87" s="546">
        <f t="shared" si="155"/>
        <v>7.1131236651181817E-3</v>
      </c>
      <c r="BT87" s="546">
        <f t="shared" si="156"/>
        <v>1.9062848865117638E-2</v>
      </c>
      <c r="BU87" s="546">
        <f t="shared" si="157"/>
        <v>4.062023632152529E-2</v>
      </c>
      <c r="BV87" s="546">
        <f t="shared" si="158"/>
        <v>1.7938992161254205E-2</v>
      </c>
      <c r="BW87" s="472">
        <f t="shared" si="171"/>
        <v>58.559228482779496</v>
      </c>
      <c r="BX87" s="179">
        <f t="shared" si="172"/>
        <v>0.18508493411861132</v>
      </c>
      <c r="BY87" s="6">
        <f t="shared" si="173"/>
        <v>2.1647999999999996</v>
      </c>
      <c r="BZ87" s="179">
        <f t="shared" si="174"/>
        <v>0.9212365969791485</v>
      </c>
      <c r="CA87" s="6">
        <f t="shared" si="175"/>
        <v>92.123659697914846</v>
      </c>
      <c r="CD87" s="581">
        <f t="shared" si="159"/>
        <v>-50</v>
      </c>
      <c r="CE87">
        <f t="shared" si="160"/>
        <v>-50</v>
      </c>
    </row>
    <row r="88" spans="5:83" x14ac:dyDescent="0.2">
      <c r="E88" s="176">
        <v>83</v>
      </c>
      <c r="F88" s="223">
        <f t="shared" si="161"/>
        <v>9.1299999999999992E-2</v>
      </c>
      <c r="G88" s="223"/>
      <c r="H88" s="223">
        <f t="shared" si="113"/>
        <v>2.1911999999999998</v>
      </c>
      <c r="I88" s="559">
        <f t="shared" si="114"/>
        <v>12</v>
      </c>
      <c r="J88" s="178">
        <f t="shared" si="115"/>
        <v>24.25</v>
      </c>
      <c r="K88" s="454">
        <f t="shared" si="116"/>
        <v>36.25</v>
      </c>
      <c r="L88" s="454"/>
      <c r="M88" s="223">
        <f t="shared" si="117"/>
        <v>0.66896551724137931</v>
      </c>
      <c r="N88" s="178">
        <f t="shared" si="118"/>
        <v>5.528999999999999</v>
      </c>
      <c r="O88" s="178">
        <f t="shared" si="162"/>
        <v>2.1911999999999998</v>
      </c>
      <c r="P88" s="223">
        <f t="shared" si="119"/>
        <v>0.23037499999999997</v>
      </c>
      <c r="Q88" s="223">
        <f t="shared" si="120"/>
        <v>24</v>
      </c>
      <c r="R88" s="223">
        <f t="shared" si="121"/>
        <v>0.24250000000000002</v>
      </c>
      <c r="S88" s="178">
        <f t="shared" si="122"/>
        <v>78.563803719013251</v>
      </c>
      <c r="T88" s="178">
        <f t="shared" si="123"/>
        <v>24</v>
      </c>
      <c r="U88" s="223">
        <f t="shared" si="124"/>
        <v>0.57465002712967983</v>
      </c>
      <c r="V88" s="223">
        <f t="shared" si="125"/>
        <v>2.2507126062579124</v>
      </c>
      <c r="W88" s="223">
        <f t="shared" si="126"/>
        <v>1.1137546917564929</v>
      </c>
      <c r="X88" s="203">
        <f t="shared" si="127"/>
        <v>350</v>
      </c>
      <c r="Y88" s="454">
        <f t="shared" si="163"/>
        <v>297.22387273318606</v>
      </c>
      <c r="AA88" s="223">
        <f t="shared" si="128"/>
        <v>0.48799916151346817</v>
      </c>
      <c r="AB88" s="179">
        <f t="shared" si="129"/>
        <v>0.94581280788177335</v>
      </c>
      <c r="AC88" s="179">
        <f t="shared" si="130"/>
        <v>8.077227500912576E-2</v>
      </c>
      <c r="AD88" s="179"/>
      <c r="AE88" s="179">
        <f t="shared" si="131"/>
        <v>0.56206185567010303</v>
      </c>
      <c r="AF88" s="563">
        <f t="shared" si="176"/>
        <v>1120.2595694082529</v>
      </c>
      <c r="AG88" s="546">
        <f t="shared" si="132"/>
        <v>2.8524639175257726E-2</v>
      </c>
      <c r="AI88" s="179">
        <f t="shared" si="133"/>
        <v>0.53230617507385403</v>
      </c>
      <c r="AJ88" s="179">
        <f t="shared" si="134"/>
        <v>0.57465002712967983</v>
      </c>
      <c r="AK88" s="179">
        <f t="shared" si="135"/>
        <v>1.4108518719479108</v>
      </c>
      <c r="AM88" s="563">
        <f t="shared" si="136"/>
        <v>91.3</v>
      </c>
      <c r="AN88" s="472">
        <f t="shared" si="137"/>
        <v>297.22387273318606</v>
      </c>
      <c r="AP88">
        <f t="shared" si="138"/>
        <v>91.3</v>
      </c>
      <c r="AQ88">
        <f t="shared" si="139"/>
        <v>297.22387273318606</v>
      </c>
      <c r="AS88" s="6">
        <f t="shared" si="164"/>
        <v>3.3644672980144055</v>
      </c>
      <c r="AT88" s="6">
        <f t="shared" si="140"/>
        <v>2.2507126062579124</v>
      </c>
      <c r="AU88" s="6">
        <f t="shared" si="165"/>
        <v>1.1137546917564931</v>
      </c>
      <c r="AV88" s="6">
        <f t="shared" si="141"/>
        <v>1.1137546917564929</v>
      </c>
      <c r="AW88" s="179">
        <f t="shared" si="166"/>
        <v>0.6689655172413792</v>
      </c>
      <c r="AX88" s="179">
        <f t="shared" si="142"/>
        <v>2.3065263157894735</v>
      </c>
      <c r="AY88" s="179">
        <f t="shared" si="143"/>
        <v>9.5114487249050486E-2</v>
      </c>
      <c r="AZ88" s="179">
        <f t="shared" si="167"/>
        <v>24.249999999999993</v>
      </c>
      <c r="BA88" s="472">
        <f t="shared" si="144"/>
        <v>0.85620858729728078</v>
      </c>
      <c r="BB88" s="6">
        <f t="shared" si="145"/>
        <v>0.35679229248199229</v>
      </c>
      <c r="BC88" s="6"/>
      <c r="BD88" s="179">
        <f t="shared" si="168"/>
        <v>0.27135927496215345</v>
      </c>
      <c r="BE88" s="179">
        <f t="shared" si="146"/>
        <v>0.19088834900379587</v>
      </c>
      <c r="BF88" s="179"/>
      <c r="BG88" s="546">
        <f t="shared" si="147"/>
        <v>2.5772549637794961E-2</v>
      </c>
      <c r="BH88" s="546">
        <f t="shared" si="148"/>
        <v>4.6436170212765956E-2</v>
      </c>
      <c r="BI88" s="546">
        <f t="shared" si="149"/>
        <v>3.7152984091648258E-3</v>
      </c>
      <c r="BJ88" s="546">
        <f t="shared" si="150"/>
        <v>1.9528537263172618E-2</v>
      </c>
      <c r="BK88">
        <f t="shared" si="151"/>
        <v>3.48E-3</v>
      </c>
      <c r="BL88" s="546">
        <f t="shared" si="152"/>
        <v>9.9824002678601254E-2</v>
      </c>
      <c r="BM88" s="472">
        <f t="shared" si="169"/>
        <v>99.824002678601261</v>
      </c>
      <c r="BN88" s="546">
        <f t="shared" si="153"/>
        <v>2.7389999999999998E-2</v>
      </c>
      <c r="BO88" s="546"/>
      <c r="BQ88" s="472">
        <f t="shared" si="170"/>
        <v>27.389999999999997</v>
      </c>
      <c r="BR88" s="546">
        <f t="shared" si="154"/>
        <v>1.4727171221597122E-2</v>
      </c>
      <c r="BS88" s="546">
        <f t="shared" si="155"/>
        <v>7.2876723570789951E-3</v>
      </c>
      <c r="BT88" s="546">
        <f t="shared" si="156"/>
        <v>1.906284886511761E-2</v>
      </c>
      <c r="BU88" s="546">
        <f t="shared" si="157"/>
        <v>4.1150165600508264E-2</v>
      </c>
      <c r="BV88" s="546">
        <f t="shared" si="158"/>
        <v>1.8157760358342663E-2</v>
      </c>
      <c r="BW88" s="472">
        <f t="shared" si="171"/>
        <v>59.30792595885093</v>
      </c>
      <c r="BX88" s="179">
        <f t="shared" si="172"/>
        <v>0.18652192863745218</v>
      </c>
      <c r="BY88" s="6">
        <f t="shared" si="173"/>
        <v>2.1911999999999998</v>
      </c>
      <c r="BZ88" s="179">
        <f t="shared" si="174"/>
        <v>0.92155435570872746</v>
      </c>
      <c r="CA88" s="6">
        <f t="shared" si="175"/>
        <v>92.15543557087274</v>
      </c>
      <c r="CD88" s="581">
        <f t="shared" si="159"/>
        <v>-50</v>
      </c>
      <c r="CE88">
        <f t="shared" si="160"/>
        <v>-50</v>
      </c>
    </row>
    <row r="89" spans="5:83" x14ac:dyDescent="0.2">
      <c r="E89" s="176">
        <v>84</v>
      </c>
      <c r="F89" s="223">
        <f t="shared" si="161"/>
        <v>9.2399999999999996E-2</v>
      </c>
      <c r="G89" s="223"/>
      <c r="H89" s="223">
        <f t="shared" si="113"/>
        <v>2.2176</v>
      </c>
      <c r="I89" s="559">
        <f t="shared" si="114"/>
        <v>12</v>
      </c>
      <c r="J89" s="178">
        <f t="shared" si="115"/>
        <v>24.25</v>
      </c>
      <c r="K89" s="454">
        <f t="shared" si="116"/>
        <v>36.25</v>
      </c>
      <c r="L89" s="454"/>
      <c r="M89" s="223">
        <f t="shared" si="117"/>
        <v>0.66896551724137931</v>
      </c>
      <c r="N89" s="178">
        <f t="shared" si="118"/>
        <v>5.528999999999999</v>
      </c>
      <c r="O89" s="178">
        <f t="shared" si="162"/>
        <v>2.2176</v>
      </c>
      <c r="P89" s="223">
        <f t="shared" si="119"/>
        <v>0.23037499999999997</v>
      </c>
      <c r="Q89" s="223">
        <f t="shared" si="120"/>
        <v>24</v>
      </c>
      <c r="R89" s="223">
        <f t="shared" si="121"/>
        <v>0.24250000000000002</v>
      </c>
      <c r="S89" s="178">
        <f t="shared" si="122"/>
        <v>77.486643786519252</v>
      </c>
      <c r="T89" s="178">
        <f t="shared" si="123"/>
        <v>24</v>
      </c>
      <c r="U89" s="223">
        <f t="shared" si="124"/>
        <v>0.58157352143244712</v>
      </c>
      <c r="V89" s="223">
        <f t="shared" si="125"/>
        <v>2.2778296256104178</v>
      </c>
      <c r="W89" s="223">
        <f t="shared" si="126"/>
        <v>1.1271734229824748</v>
      </c>
      <c r="X89" s="203">
        <f t="shared" si="127"/>
        <v>350</v>
      </c>
      <c r="Y89" s="454">
        <f t="shared" si="163"/>
        <v>293.68549329588615</v>
      </c>
      <c r="AA89" s="223">
        <f t="shared" si="128"/>
        <v>0.48799916151346817</v>
      </c>
      <c r="AB89" s="179">
        <f t="shared" si="129"/>
        <v>0.94581280788177335</v>
      </c>
      <c r="AC89" s="179">
        <f t="shared" si="130"/>
        <v>8.077227500912576E-2</v>
      </c>
      <c r="AD89" s="179"/>
      <c r="AE89" s="179">
        <f t="shared" si="131"/>
        <v>0.56206185567010303</v>
      </c>
      <c r="AF89" s="563">
        <f t="shared" si="176"/>
        <v>1133.7566726541354</v>
      </c>
      <c r="AG89" s="546">
        <f t="shared" si="132"/>
        <v>2.8524639175257726E-2</v>
      </c>
      <c r="AI89" s="179">
        <f t="shared" si="133"/>
        <v>0.53550323790351739</v>
      </c>
      <c r="AJ89" s="179">
        <f t="shared" si="134"/>
        <v>0.58157352143244712</v>
      </c>
      <c r="AK89" s="179">
        <f t="shared" si="135"/>
        <v>1.415980386246257</v>
      </c>
      <c r="AM89" s="563">
        <f t="shared" si="136"/>
        <v>92.399999999999991</v>
      </c>
      <c r="AN89" s="472">
        <f t="shared" si="137"/>
        <v>293.68549329588615</v>
      </c>
      <c r="AP89">
        <f t="shared" si="138"/>
        <v>92.399999999999991</v>
      </c>
      <c r="AQ89">
        <f t="shared" si="139"/>
        <v>293.68549329588615</v>
      </c>
      <c r="AS89" s="6">
        <f t="shared" si="164"/>
        <v>3.405003048592893</v>
      </c>
      <c r="AT89" s="6">
        <f t="shared" si="140"/>
        <v>2.2778296256104178</v>
      </c>
      <c r="AU89" s="6">
        <f t="shared" si="165"/>
        <v>1.1271734229824752</v>
      </c>
      <c r="AV89" s="6">
        <f t="shared" si="141"/>
        <v>1.1271734229824748</v>
      </c>
      <c r="AW89" s="179">
        <f t="shared" si="166"/>
        <v>0.6689655172413792</v>
      </c>
      <c r="AX89" s="179">
        <f t="shared" si="142"/>
        <v>2.3343157894736839</v>
      </c>
      <c r="AY89" s="179">
        <f t="shared" si="143"/>
        <v>9.62604449267499E-2</v>
      </c>
      <c r="AZ89" s="179">
        <f t="shared" si="167"/>
        <v>24.249999999999989</v>
      </c>
      <c r="BA89" s="472">
        <f t="shared" si="144"/>
        <v>0.8769644058600109</v>
      </c>
      <c r="BB89" s="6">
        <f t="shared" si="145"/>
        <v>0.36544148871431825</v>
      </c>
      <c r="BC89" s="6"/>
      <c r="BD89" s="179">
        <f t="shared" si="168"/>
        <v>0.2746286638171192</v>
      </c>
      <c r="BE89" s="179">
        <f t="shared" si="146"/>
        <v>0.19318820863034764</v>
      </c>
      <c r="BF89" s="179"/>
      <c r="BG89" s="546">
        <f t="shared" si="147"/>
        <v>2.6397316046491696E-2</v>
      </c>
      <c r="BH89" s="546">
        <f t="shared" si="148"/>
        <v>4.643617021276595E-2</v>
      </c>
      <c r="BI89" s="546">
        <f t="shared" si="149"/>
        <v>3.6710686661985768E-3</v>
      </c>
      <c r="BJ89" s="546">
        <f t="shared" si="150"/>
        <v>1.9296054676706271E-2</v>
      </c>
      <c r="BK89">
        <f t="shared" si="151"/>
        <v>3.48E-3</v>
      </c>
      <c r="BL89" s="546">
        <f t="shared" si="152"/>
        <v>0.10019707922178089</v>
      </c>
      <c r="BM89" s="472">
        <f t="shared" si="169"/>
        <v>100.1970792217809</v>
      </c>
      <c r="BN89" s="546">
        <f t="shared" si="153"/>
        <v>2.7719999999999998E-2</v>
      </c>
      <c r="BO89" s="546"/>
      <c r="BQ89" s="472">
        <f t="shared" si="170"/>
        <v>27.72</v>
      </c>
      <c r="BR89" s="546">
        <f t="shared" si="154"/>
        <v>1.5084180597995257E-2</v>
      </c>
      <c r="BS89" s="546">
        <f t="shared" si="155"/>
        <v>7.4643367907605458E-3</v>
      </c>
      <c r="BT89" s="546">
        <f t="shared" si="156"/>
        <v>1.9062848865117624E-2</v>
      </c>
      <c r="BU89" s="546">
        <f t="shared" si="157"/>
        <v>4.1686563870698697E-2</v>
      </c>
      <c r="BV89" s="546">
        <f t="shared" si="158"/>
        <v>1.8376528555431131E-2</v>
      </c>
      <c r="BW89" s="472">
        <f t="shared" si="171"/>
        <v>60.063092426129828</v>
      </c>
      <c r="BX89" s="179">
        <f t="shared" si="172"/>
        <v>0.1879801716479107</v>
      </c>
      <c r="BY89" s="6">
        <f t="shared" si="173"/>
        <v>2.2176</v>
      </c>
      <c r="BZ89" s="179">
        <f t="shared" si="174"/>
        <v>0.92185661743331659</v>
      </c>
      <c r="CA89" s="6">
        <f t="shared" si="175"/>
        <v>92.185661743331664</v>
      </c>
      <c r="CD89" s="581">
        <f t="shared" si="159"/>
        <v>-50</v>
      </c>
      <c r="CE89">
        <f t="shared" si="160"/>
        <v>-50</v>
      </c>
    </row>
    <row r="90" spans="5:83" x14ac:dyDescent="0.2">
      <c r="E90" s="176">
        <v>85</v>
      </c>
      <c r="F90" s="223">
        <f t="shared" si="161"/>
        <v>9.35E-2</v>
      </c>
      <c r="G90" s="223"/>
      <c r="H90" s="223">
        <f t="shared" si="113"/>
        <v>2.2439999999999998</v>
      </c>
      <c r="I90" s="559">
        <f t="shared" si="114"/>
        <v>12</v>
      </c>
      <c r="J90" s="178">
        <f t="shared" si="115"/>
        <v>24.25</v>
      </c>
      <c r="K90" s="454">
        <f t="shared" si="116"/>
        <v>36.25</v>
      </c>
      <c r="L90" s="454"/>
      <c r="M90" s="223">
        <f t="shared" si="117"/>
        <v>0.66896551724137931</v>
      </c>
      <c r="N90" s="178">
        <f t="shared" si="118"/>
        <v>5.528999999999999</v>
      </c>
      <c r="O90" s="178">
        <f t="shared" si="162"/>
        <v>2.2439999999999998</v>
      </c>
      <c r="P90" s="223">
        <f t="shared" si="119"/>
        <v>0.23037499999999997</v>
      </c>
      <c r="Q90" s="223">
        <f t="shared" si="120"/>
        <v>24</v>
      </c>
      <c r="R90" s="223">
        <f t="shared" si="121"/>
        <v>0.24250000000000002</v>
      </c>
      <c r="S90" s="178">
        <f t="shared" si="122"/>
        <v>76.434843084926342</v>
      </c>
      <c r="T90" s="178">
        <f t="shared" si="123"/>
        <v>24</v>
      </c>
      <c r="U90" s="223">
        <f t="shared" si="124"/>
        <v>0.58849701573521429</v>
      </c>
      <c r="V90" s="223">
        <f t="shared" si="125"/>
        <v>2.3049466449629228</v>
      </c>
      <c r="W90" s="223">
        <f t="shared" si="126"/>
        <v>1.1405921542084565</v>
      </c>
      <c r="X90" s="203">
        <f t="shared" si="127"/>
        <v>350</v>
      </c>
      <c r="Y90" s="454">
        <f t="shared" si="163"/>
        <v>290.23036984534633</v>
      </c>
      <c r="AA90" s="223">
        <f t="shared" si="128"/>
        <v>0.48799916151346817</v>
      </c>
      <c r="AB90" s="179">
        <f t="shared" si="129"/>
        <v>0.94581280788177335</v>
      </c>
      <c r="AC90" s="179">
        <f t="shared" si="130"/>
        <v>8.077227500912576E-2</v>
      </c>
      <c r="AD90" s="179"/>
      <c r="AE90" s="179">
        <f t="shared" si="131"/>
        <v>0.56206185567010303</v>
      </c>
      <c r="AF90" s="563">
        <f t="shared" si="176"/>
        <v>1147.2537759000179</v>
      </c>
      <c r="AG90" s="546">
        <f t="shared" si="132"/>
        <v>2.8524639175257726E-2</v>
      </c>
      <c r="AI90" s="179">
        <f t="shared" si="133"/>
        <v>0.53868132656380985</v>
      </c>
      <c r="AJ90" s="179">
        <f t="shared" si="134"/>
        <v>0.58849701573521429</v>
      </c>
      <c r="AK90" s="179">
        <f t="shared" si="135"/>
        <v>1.4211089005446031</v>
      </c>
      <c r="AM90" s="563">
        <f t="shared" si="136"/>
        <v>93.5</v>
      </c>
      <c r="AN90" s="472">
        <f t="shared" si="137"/>
        <v>290.23036984534633</v>
      </c>
      <c r="AP90">
        <f t="shared" si="138"/>
        <v>93.5</v>
      </c>
      <c r="AQ90">
        <f t="shared" si="139"/>
        <v>290.23036984534633</v>
      </c>
      <c r="AS90" s="6">
        <f t="shared" si="164"/>
        <v>3.4455387991713797</v>
      </c>
      <c r="AT90" s="6">
        <f t="shared" si="140"/>
        <v>2.3049466449629228</v>
      </c>
      <c r="AU90" s="6">
        <f t="shared" si="165"/>
        <v>1.1405921542084569</v>
      </c>
      <c r="AV90" s="6">
        <f t="shared" si="141"/>
        <v>1.1405921542084565</v>
      </c>
      <c r="AW90" s="179">
        <f t="shared" si="166"/>
        <v>0.6689655172413792</v>
      </c>
      <c r="AX90" s="179">
        <f t="shared" si="142"/>
        <v>2.3621052631578947</v>
      </c>
      <c r="AY90" s="179">
        <f t="shared" si="143"/>
        <v>9.7406402604449299E-2</v>
      </c>
      <c r="AZ90" s="179">
        <f t="shared" si="167"/>
        <v>24.249999999999993</v>
      </c>
      <c r="BA90" s="472">
        <f t="shared" si="144"/>
        <v>0.89796879710013866</v>
      </c>
      <c r="BB90" s="6">
        <f t="shared" si="145"/>
        <v>0.37419426813505513</v>
      </c>
      <c r="BC90" s="6"/>
      <c r="BD90" s="179">
        <f t="shared" si="168"/>
        <v>0.27789805267208489</v>
      </c>
      <c r="BE90" s="179">
        <f t="shared" si="146"/>
        <v>0.19548806825689938</v>
      </c>
      <c r="BF90" s="179"/>
      <c r="BG90" s="546">
        <f t="shared" si="147"/>
        <v>2.7029564687627902E-2</v>
      </c>
      <c r="BH90" s="546">
        <f t="shared" si="148"/>
        <v>4.643617021276595E-2</v>
      </c>
      <c r="BI90" s="546">
        <f t="shared" si="149"/>
        <v>3.6278796230668291E-3</v>
      </c>
      <c r="BJ90" s="546">
        <f t="shared" si="150"/>
        <v>1.9069042268745024E-2</v>
      </c>
      <c r="BK90">
        <f t="shared" si="151"/>
        <v>3.48E-3</v>
      </c>
      <c r="BL90" s="546">
        <f t="shared" si="152"/>
        <v>0.10058470742882129</v>
      </c>
      <c r="BM90" s="472">
        <f t="shared" si="169"/>
        <v>100.58470742882129</v>
      </c>
      <c r="BN90" s="546">
        <f t="shared" si="153"/>
        <v>2.8049999999999999E-2</v>
      </c>
      <c r="BO90" s="546"/>
      <c r="BQ90" s="472">
        <f t="shared" si="170"/>
        <v>28.049999999999997</v>
      </c>
      <c r="BR90" s="546">
        <f t="shared" si="154"/>
        <v>1.5445465535787373E-2</v>
      </c>
      <c r="BS90" s="546">
        <f t="shared" si="155"/>
        <v>7.6431169661628304E-3</v>
      </c>
      <c r="BT90" s="546">
        <f t="shared" si="156"/>
        <v>1.9062848865117582E-2</v>
      </c>
      <c r="BU90" s="546">
        <f t="shared" si="157"/>
        <v>4.2229432786499911E-2</v>
      </c>
      <c r="BV90" s="546">
        <f t="shared" si="158"/>
        <v>1.8595296752519596E-2</v>
      </c>
      <c r="BW90" s="472">
        <f t="shared" si="171"/>
        <v>60.824729539019501</v>
      </c>
      <c r="BX90" s="179">
        <f t="shared" si="172"/>
        <v>0.18945943696784079</v>
      </c>
      <c r="BY90" s="6">
        <f t="shared" si="173"/>
        <v>2.2439999999999998</v>
      </c>
      <c r="BZ90" s="179">
        <f t="shared" si="174"/>
        <v>0.92214399217440313</v>
      </c>
      <c r="CA90" s="6">
        <f t="shared" si="175"/>
        <v>92.214399217440317</v>
      </c>
      <c r="CD90" s="581">
        <f t="shared" si="159"/>
        <v>-50</v>
      </c>
      <c r="CE90">
        <f t="shared" si="160"/>
        <v>-50</v>
      </c>
    </row>
    <row r="91" spans="5:83" x14ac:dyDescent="0.2">
      <c r="E91" s="176">
        <v>86</v>
      </c>
      <c r="F91" s="223">
        <f t="shared" si="161"/>
        <v>9.4600000000000004E-2</v>
      </c>
      <c r="G91" s="223"/>
      <c r="H91" s="223">
        <f t="shared" si="113"/>
        <v>2.2704</v>
      </c>
      <c r="I91" s="559">
        <f t="shared" si="114"/>
        <v>12</v>
      </c>
      <c r="J91" s="178">
        <f t="shared" si="115"/>
        <v>24.25</v>
      </c>
      <c r="K91" s="454">
        <f t="shared" si="116"/>
        <v>36.25</v>
      </c>
      <c r="L91" s="454"/>
      <c r="M91" s="223">
        <f t="shared" si="117"/>
        <v>0.66896551724137931</v>
      </c>
      <c r="N91" s="178">
        <f t="shared" si="118"/>
        <v>5.528999999999999</v>
      </c>
      <c r="O91" s="178">
        <f t="shared" si="162"/>
        <v>2.2704</v>
      </c>
      <c r="P91" s="223">
        <f t="shared" si="119"/>
        <v>0.23037499999999997</v>
      </c>
      <c r="Q91" s="223">
        <f t="shared" si="120"/>
        <v>24</v>
      </c>
      <c r="R91" s="223">
        <f t="shared" si="121"/>
        <v>0.24250000000000002</v>
      </c>
      <c r="S91" s="178">
        <f t="shared" si="122"/>
        <v>75.407517065297128</v>
      </c>
      <c r="T91" s="178">
        <f t="shared" si="123"/>
        <v>24</v>
      </c>
      <c r="U91" s="223">
        <f t="shared" si="124"/>
        <v>0.59542051003798158</v>
      </c>
      <c r="V91" s="223">
        <f t="shared" si="125"/>
        <v>2.3320636643154273</v>
      </c>
      <c r="W91" s="223">
        <f t="shared" si="126"/>
        <v>1.1540108854344384</v>
      </c>
      <c r="X91" s="203">
        <f t="shared" si="127"/>
        <v>350</v>
      </c>
      <c r="Y91" s="454">
        <f t="shared" si="163"/>
        <v>286.85559810295871</v>
      </c>
      <c r="AA91" s="223">
        <f t="shared" si="128"/>
        <v>0.48799916151346817</v>
      </c>
      <c r="AB91" s="179">
        <f t="shared" si="129"/>
        <v>0.94581280788177335</v>
      </c>
      <c r="AC91" s="179">
        <f t="shared" si="130"/>
        <v>8.077227500912576E-2</v>
      </c>
      <c r="AD91" s="179"/>
      <c r="AE91" s="179">
        <f t="shared" si="131"/>
        <v>0.56206185567010303</v>
      </c>
      <c r="AF91" s="563">
        <f t="shared" si="176"/>
        <v>1160.7508791459004</v>
      </c>
      <c r="AG91" s="546">
        <f t="shared" si="132"/>
        <v>2.8524639175257726E-2</v>
      </c>
      <c r="AI91" s="179">
        <f t="shared" si="133"/>
        <v>0.54184077492556848</v>
      </c>
      <c r="AJ91" s="179">
        <f t="shared" si="134"/>
        <v>0.59542051003798158</v>
      </c>
      <c r="AK91" s="179">
        <f t="shared" si="135"/>
        <v>1.4262374148429493</v>
      </c>
      <c r="AM91" s="563">
        <f t="shared" si="136"/>
        <v>94.600000000000009</v>
      </c>
      <c r="AN91" s="472">
        <f t="shared" si="137"/>
        <v>286.85559810295871</v>
      </c>
      <c r="AP91">
        <f t="shared" si="138"/>
        <v>94.600000000000009</v>
      </c>
      <c r="AQ91">
        <f t="shared" si="139"/>
        <v>286.85559810295871</v>
      </c>
      <c r="AS91" s="6">
        <f t="shared" si="164"/>
        <v>3.4860745497498651</v>
      </c>
      <c r="AT91" s="6">
        <f t="shared" si="140"/>
        <v>2.3320636643154273</v>
      </c>
      <c r="AU91" s="6">
        <f t="shared" si="165"/>
        <v>1.1540108854344377</v>
      </c>
      <c r="AV91" s="6">
        <f t="shared" si="141"/>
        <v>1.1540108854344384</v>
      </c>
      <c r="AW91" s="179">
        <f t="shared" si="166"/>
        <v>0.66896551724137943</v>
      </c>
      <c r="AX91" s="179">
        <f t="shared" si="142"/>
        <v>2.389894736842106</v>
      </c>
      <c r="AY91" s="179">
        <f t="shared" si="143"/>
        <v>9.8552360282148643E-2</v>
      </c>
      <c r="AZ91" s="179">
        <f t="shared" si="167"/>
        <v>24.250000000000014</v>
      </c>
      <c r="BA91" s="472">
        <f t="shared" si="144"/>
        <v>0.9192217610176644</v>
      </c>
      <c r="BB91" s="6">
        <f t="shared" si="145"/>
        <v>0.38305063074420281</v>
      </c>
      <c r="BC91" s="6"/>
      <c r="BD91" s="179">
        <f t="shared" si="168"/>
        <v>0.2811674415270507</v>
      </c>
      <c r="BE91" s="179">
        <f t="shared" si="146"/>
        <v>0.19778792788345109</v>
      </c>
      <c r="BF91" s="179"/>
      <c r="BG91" s="546">
        <f t="shared" si="147"/>
        <v>2.7669295561203611E-2</v>
      </c>
      <c r="BH91" s="546">
        <f t="shared" si="148"/>
        <v>4.643617021276597E-2</v>
      </c>
      <c r="BI91" s="546">
        <f t="shared" si="149"/>
        <v>3.5856949762869839E-3</v>
      </c>
      <c r="BJ91" s="546">
        <f t="shared" si="150"/>
        <v>1.884730921910846E-2</v>
      </c>
      <c r="BK91">
        <f t="shared" si="151"/>
        <v>3.48E-3</v>
      </c>
      <c r="BL91" s="546">
        <f t="shared" si="152"/>
        <v>0.10098667067778341</v>
      </c>
      <c r="BM91" s="472">
        <f t="shared" si="169"/>
        <v>100.98667067778341</v>
      </c>
      <c r="BN91" s="546">
        <f t="shared" si="153"/>
        <v>2.8379999999999999E-2</v>
      </c>
      <c r="BO91" s="546"/>
      <c r="BQ91" s="472">
        <f t="shared" si="170"/>
        <v>28.38</v>
      </c>
      <c r="BR91" s="546">
        <f t="shared" si="154"/>
        <v>1.5811026034973495E-2</v>
      </c>
      <c r="BS91" s="546">
        <f t="shared" si="155"/>
        <v>7.8240128832858507E-3</v>
      </c>
      <c r="BT91" s="546">
        <f t="shared" si="156"/>
        <v>1.9062848865117613E-2</v>
      </c>
      <c r="BU91" s="546">
        <f t="shared" si="157"/>
        <v>4.2778774022488725E-2</v>
      </c>
      <c r="BV91" s="546">
        <f t="shared" si="158"/>
        <v>1.8814064949608071E-2</v>
      </c>
      <c r="BW91" s="472">
        <f t="shared" si="171"/>
        <v>61.592838972096793</v>
      </c>
      <c r="BX91" s="179">
        <f t="shared" si="172"/>
        <v>0.1909595096498802</v>
      </c>
      <c r="BY91" s="6">
        <f t="shared" si="173"/>
        <v>2.2704</v>
      </c>
      <c r="BZ91" s="179">
        <f t="shared" si="174"/>
        <v>0.92241705898662329</v>
      </c>
      <c r="CA91" s="6">
        <f t="shared" si="175"/>
        <v>92.241705898662332</v>
      </c>
      <c r="CD91" s="581">
        <f t="shared" si="159"/>
        <v>-50</v>
      </c>
      <c r="CE91">
        <f t="shared" si="160"/>
        <v>-50</v>
      </c>
    </row>
    <row r="92" spans="5:83" x14ac:dyDescent="0.2">
      <c r="E92" s="176">
        <v>87</v>
      </c>
      <c r="F92" s="223">
        <f t="shared" si="161"/>
        <v>9.5699999999999993E-2</v>
      </c>
      <c r="G92" s="223"/>
      <c r="H92" s="223">
        <f t="shared" si="113"/>
        <v>2.2967999999999997</v>
      </c>
      <c r="I92" s="559">
        <f t="shared" si="114"/>
        <v>12</v>
      </c>
      <c r="J92" s="178">
        <f t="shared" si="115"/>
        <v>24.25</v>
      </c>
      <c r="K92" s="454">
        <f t="shared" si="116"/>
        <v>36.25</v>
      </c>
      <c r="L92" s="454"/>
      <c r="M92" s="223">
        <f t="shared" si="117"/>
        <v>0.66896551724137931</v>
      </c>
      <c r="N92" s="178">
        <f t="shared" si="118"/>
        <v>5.528999999999999</v>
      </c>
      <c r="O92" s="178">
        <f t="shared" si="162"/>
        <v>2.2967999999999997</v>
      </c>
      <c r="P92" s="223">
        <f t="shared" si="119"/>
        <v>0.23037499999999997</v>
      </c>
      <c r="Q92" s="223">
        <f t="shared" si="120"/>
        <v>24</v>
      </c>
      <c r="R92" s="223">
        <f t="shared" si="121"/>
        <v>0.24250000000000002</v>
      </c>
      <c r="S92" s="178">
        <f t="shared" si="122"/>
        <v>74.403821848126398</v>
      </c>
      <c r="T92" s="178">
        <f t="shared" si="123"/>
        <v>24</v>
      </c>
      <c r="U92" s="223">
        <f t="shared" si="124"/>
        <v>0.60234400434074875</v>
      </c>
      <c r="V92" s="223">
        <f t="shared" si="125"/>
        <v>2.3591806836679323</v>
      </c>
      <c r="W92" s="223">
        <f t="shared" si="126"/>
        <v>1.1674296166604201</v>
      </c>
      <c r="X92" s="203">
        <f t="shared" si="127"/>
        <v>350</v>
      </c>
      <c r="Y92" s="454">
        <f t="shared" si="163"/>
        <v>283.558407320166</v>
      </c>
      <c r="AA92" s="223">
        <f t="shared" si="128"/>
        <v>0.48799916151346817</v>
      </c>
      <c r="AB92" s="179">
        <f t="shared" si="129"/>
        <v>0.94581280788177335</v>
      </c>
      <c r="AC92" s="179">
        <f t="shared" si="130"/>
        <v>8.077227500912576E-2</v>
      </c>
      <c r="AD92" s="179"/>
      <c r="AE92" s="179">
        <f t="shared" si="131"/>
        <v>0.56206185567010303</v>
      </c>
      <c r="AF92" s="563">
        <f t="shared" si="176"/>
        <v>1174.2479823917831</v>
      </c>
      <c r="AG92" s="546">
        <f t="shared" si="132"/>
        <v>2.8524639175257726E-2</v>
      </c>
      <c r="AI92" s="179">
        <f t="shared" si="133"/>
        <v>0.54498190718163764</v>
      </c>
      <c r="AJ92" s="179">
        <f t="shared" si="134"/>
        <v>0.60234400434074875</v>
      </c>
      <c r="AK92" s="179">
        <f t="shared" si="135"/>
        <v>1.4313659291412955</v>
      </c>
      <c r="AM92" s="563">
        <f t="shared" si="136"/>
        <v>95.699999999999989</v>
      </c>
      <c r="AN92" s="472">
        <f t="shared" si="137"/>
        <v>283.558407320166</v>
      </c>
      <c r="AP92">
        <f t="shared" si="138"/>
        <v>95.699999999999989</v>
      </c>
      <c r="AQ92">
        <f t="shared" si="139"/>
        <v>283.558407320166</v>
      </c>
      <c r="AS92" s="6">
        <f t="shared" si="164"/>
        <v>3.5266103003283527</v>
      </c>
      <c r="AT92" s="6">
        <f t="shared" si="140"/>
        <v>2.3591806836679323</v>
      </c>
      <c r="AU92" s="6">
        <f t="shared" si="165"/>
        <v>1.1674296166604203</v>
      </c>
      <c r="AV92" s="6">
        <f t="shared" si="141"/>
        <v>1.1674296166604201</v>
      </c>
      <c r="AW92" s="179">
        <f t="shared" si="166"/>
        <v>0.66896551724137931</v>
      </c>
      <c r="AX92" s="179">
        <f t="shared" si="142"/>
        <v>2.4176842105263159</v>
      </c>
      <c r="AY92" s="179">
        <f t="shared" si="143"/>
        <v>9.9698317959848071E-2</v>
      </c>
      <c r="AZ92" s="179">
        <f t="shared" si="167"/>
        <v>24.25</v>
      </c>
      <c r="BA92" s="472">
        <f t="shared" si="144"/>
        <v>0.94072329761258799</v>
      </c>
      <c r="BB92" s="6">
        <f t="shared" si="145"/>
        <v>0.39201057654176202</v>
      </c>
      <c r="BC92" s="6"/>
      <c r="BD92" s="179">
        <f t="shared" si="168"/>
        <v>0.28443683038201634</v>
      </c>
      <c r="BE92" s="179">
        <f t="shared" si="146"/>
        <v>0.20008778751000286</v>
      </c>
      <c r="BF92" s="179"/>
      <c r="BG92" s="546">
        <f t="shared" si="147"/>
        <v>2.8316508667218774E-2</v>
      </c>
      <c r="BH92" s="546">
        <f t="shared" si="148"/>
        <v>4.6436170212765956E-2</v>
      </c>
      <c r="BI92" s="546">
        <f t="shared" si="149"/>
        <v>3.544480091502075E-3</v>
      </c>
      <c r="BJ92" s="546">
        <f t="shared" si="150"/>
        <v>1.8630673480957784E-2</v>
      </c>
      <c r="BK92">
        <f t="shared" si="151"/>
        <v>3.48E-3</v>
      </c>
      <c r="BL92" s="546">
        <f t="shared" si="152"/>
        <v>0.10140276292502748</v>
      </c>
      <c r="BM92" s="472">
        <f t="shared" si="169"/>
        <v>101.40276292502747</v>
      </c>
      <c r="BN92" s="546">
        <f t="shared" si="153"/>
        <v>2.8709999999999996E-2</v>
      </c>
      <c r="BO92" s="546"/>
      <c r="BQ92" s="472">
        <f t="shared" si="170"/>
        <v>28.709999999999997</v>
      </c>
      <c r="BR92" s="546">
        <f t="shared" si="154"/>
        <v>1.6180862095553587E-2</v>
      </c>
      <c r="BS92" s="546">
        <f t="shared" si="155"/>
        <v>8.0070245421296118E-3</v>
      </c>
      <c r="BT92" s="546">
        <f t="shared" si="156"/>
        <v>1.9062848865117589E-2</v>
      </c>
      <c r="BU92" s="546">
        <f t="shared" si="157"/>
        <v>4.3334589273427683E-2</v>
      </c>
      <c r="BV92" s="546">
        <f t="shared" si="158"/>
        <v>1.9032833146696529E-2</v>
      </c>
      <c r="BW92" s="472">
        <f t="shared" si="171"/>
        <v>62.367422420124214</v>
      </c>
      <c r="BX92" s="179">
        <f t="shared" si="172"/>
        <v>0.19248018534515166</v>
      </c>
      <c r="BY92" s="6">
        <f t="shared" si="173"/>
        <v>2.2967999999999997</v>
      </c>
      <c r="BZ92" s="179">
        <f t="shared" si="174"/>
        <v>0.92267636785994678</v>
      </c>
      <c r="CA92" s="6">
        <f t="shared" si="175"/>
        <v>92.267636785994682</v>
      </c>
      <c r="CD92" s="581">
        <f t="shared" si="159"/>
        <v>-50</v>
      </c>
      <c r="CE92">
        <f t="shared" si="160"/>
        <v>-50</v>
      </c>
    </row>
    <row r="93" spans="5:83" x14ac:dyDescent="0.2">
      <c r="E93" s="176">
        <v>88</v>
      </c>
      <c r="F93" s="223">
        <f t="shared" si="161"/>
        <v>9.6799999999999997E-2</v>
      </c>
      <c r="G93" s="223"/>
      <c r="H93" s="223">
        <f t="shared" si="113"/>
        <v>2.3231999999999999</v>
      </c>
      <c r="I93" s="559">
        <f t="shared" si="114"/>
        <v>12</v>
      </c>
      <c r="J93" s="178">
        <f t="shared" si="115"/>
        <v>24.25</v>
      </c>
      <c r="K93" s="454">
        <f t="shared" si="116"/>
        <v>36.25</v>
      </c>
      <c r="L93" s="454"/>
      <c r="M93" s="223">
        <f t="shared" si="117"/>
        <v>0.66896551724137931</v>
      </c>
      <c r="N93" s="178">
        <f t="shared" si="118"/>
        <v>5.528999999999999</v>
      </c>
      <c r="O93" s="178">
        <f t="shared" si="162"/>
        <v>2.3231999999999999</v>
      </c>
      <c r="P93" s="223">
        <f t="shared" si="119"/>
        <v>0.23037499999999997</v>
      </c>
      <c r="Q93" s="223">
        <f t="shared" si="120"/>
        <v>24</v>
      </c>
      <c r="R93" s="223">
        <f t="shared" si="121"/>
        <v>0.24250000000000002</v>
      </c>
      <c r="S93" s="178">
        <f t="shared" si="122"/>
        <v>73.42295191258215</v>
      </c>
      <c r="T93" s="178">
        <f t="shared" si="123"/>
        <v>24</v>
      </c>
      <c r="U93" s="223">
        <f t="shared" si="124"/>
        <v>0.60926749864351604</v>
      </c>
      <c r="V93" s="223">
        <f t="shared" si="125"/>
        <v>2.3862977030204378</v>
      </c>
      <c r="W93" s="223">
        <f t="shared" si="126"/>
        <v>1.180848347886402</v>
      </c>
      <c r="X93" s="203">
        <f t="shared" si="127"/>
        <v>350</v>
      </c>
      <c r="Y93" s="454">
        <f t="shared" si="163"/>
        <v>280.33615269152773</v>
      </c>
      <c r="AA93" s="223">
        <f t="shared" si="128"/>
        <v>0.48799916151346817</v>
      </c>
      <c r="AB93" s="179">
        <f t="shared" si="129"/>
        <v>0.94581280788177335</v>
      </c>
      <c r="AC93" s="179">
        <f t="shared" si="130"/>
        <v>8.077227500912576E-2</v>
      </c>
      <c r="AD93" s="179"/>
      <c r="AE93" s="179">
        <f t="shared" si="131"/>
        <v>0.56206185567010303</v>
      </c>
      <c r="AF93" s="563">
        <f t="shared" si="176"/>
        <v>1187.7450856376656</v>
      </c>
      <c r="AG93" s="546">
        <f t="shared" si="132"/>
        <v>2.8524639175257726E-2</v>
      </c>
      <c r="AI93" s="179">
        <f t="shared" si="133"/>
        <v>0.5481050382351268</v>
      </c>
      <c r="AJ93" s="179">
        <f t="shared" si="134"/>
        <v>0.60926749864351604</v>
      </c>
      <c r="AK93" s="179">
        <f t="shared" si="135"/>
        <v>1.4364944434396416</v>
      </c>
      <c r="AM93" s="563">
        <f t="shared" si="136"/>
        <v>96.8</v>
      </c>
      <c r="AN93" s="472">
        <f t="shared" si="137"/>
        <v>280.33615269152773</v>
      </c>
      <c r="AP93">
        <f t="shared" si="138"/>
        <v>96.8</v>
      </c>
      <c r="AQ93">
        <f t="shared" si="139"/>
        <v>280.33615269152773</v>
      </c>
      <c r="AS93" s="6">
        <f t="shared" si="164"/>
        <v>3.5671460509068398</v>
      </c>
      <c r="AT93" s="6">
        <f t="shared" si="140"/>
        <v>2.3862977030204378</v>
      </c>
      <c r="AU93" s="6">
        <f t="shared" si="165"/>
        <v>1.180848347886402</v>
      </c>
      <c r="AV93" s="6">
        <f t="shared" si="141"/>
        <v>1.180848347886402</v>
      </c>
      <c r="AW93" s="179">
        <f t="shared" si="166"/>
        <v>0.66896551724137931</v>
      </c>
      <c r="AX93" s="179">
        <f t="shared" si="142"/>
        <v>2.4454736842105262</v>
      </c>
      <c r="AY93" s="179">
        <f t="shared" si="143"/>
        <v>0.10084427563754748</v>
      </c>
      <c r="AZ93" s="179">
        <f t="shared" si="167"/>
        <v>24.249999999999996</v>
      </c>
      <c r="BA93" s="472">
        <f t="shared" si="144"/>
        <v>0.96247340688490979</v>
      </c>
      <c r="BB93" s="6">
        <f t="shared" si="145"/>
        <v>0.40107410552773226</v>
      </c>
      <c r="BC93" s="6"/>
      <c r="BD93" s="179">
        <f t="shared" si="168"/>
        <v>0.28770621923698209</v>
      </c>
      <c r="BE93" s="179">
        <f t="shared" si="146"/>
        <v>0.20238764713655463</v>
      </c>
      <c r="BF93" s="179"/>
      <c r="BG93" s="546">
        <f t="shared" si="147"/>
        <v>2.8971204005673438E-2</v>
      </c>
      <c r="BH93" s="546">
        <f t="shared" si="148"/>
        <v>4.6436170212765956E-2</v>
      </c>
      <c r="BI93" s="546">
        <f t="shared" si="149"/>
        <v>3.5042019086440964E-3</v>
      </c>
      <c r="BJ93" s="546">
        <f t="shared" si="150"/>
        <v>1.8418961282310537E-2</v>
      </c>
      <c r="BK93">
        <f t="shared" si="151"/>
        <v>3.48E-3</v>
      </c>
      <c r="BL93" s="546">
        <f t="shared" si="152"/>
        <v>0.10183278811232199</v>
      </c>
      <c r="BM93" s="472">
        <f t="shared" si="169"/>
        <v>101.83278811232199</v>
      </c>
      <c r="BN93" s="546">
        <f t="shared" si="153"/>
        <v>2.9039999999999996E-2</v>
      </c>
      <c r="BO93" s="546"/>
      <c r="BQ93" s="472">
        <f t="shared" si="170"/>
        <v>29.039999999999996</v>
      </c>
      <c r="BR93" s="546">
        <f t="shared" si="154"/>
        <v>1.655497371752768E-2</v>
      </c>
      <c r="BS93" s="546">
        <f t="shared" si="155"/>
        <v>8.1921519426941102E-3</v>
      </c>
      <c r="BT93" s="546">
        <f t="shared" si="156"/>
        <v>1.9062848865117561E-2</v>
      </c>
      <c r="BU93" s="546">
        <f t="shared" si="157"/>
        <v>4.3896880254278903E-2</v>
      </c>
      <c r="BV93" s="546">
        <f t="shared" si="158"/>
        <v>1.9251601343784994E-2</v>
      </c>
      <c r="BW93" s="472">
        <f t="shared" si="171"/>
        <v>63.148481598063896</v>
      </c>
      <c r="BX93" s="179">
        <f t="shared" si="172"/>
        <v>0.19402126971038591</v>
      </c>
      <c r="BY93" s="6">
        <f t="shared" si="173"/>
        <v>2.3231999999999999</v>
      </c>
      <c r="BZ93" s="179">
        <f t="shared" si="174"/>
        <v>0.92292244148536506</v>
      </c>
      <c r="CA93" s="6">
        <f t="shared" si="175"/>
        <v>92.292244148536511</v>
      </c>
      <c r="CD93" s="581">
        <f t="shared" si="159"/>
        <v>-50</v>
      </c>
      <c r="CE93">
        <f t="shared" si="160"/>
        <v>-50</v>
      </c>
    </row>
    <row r="94" spans="5:83" x14ac:dyDescent="0.2">
      <c r="E94" s="176">
        <v>89</v>
      </c>
      <c r="F94" s="223">
        <f t="shared" si="161"/>
        <v>9.7900000000000001E-2</v>
      </c>
      <c r="G94" s="223"/>
      <c r="H94" s="223">
        <f t="shared" si="113"/>
        <v>2.3496000000000001</v>
      </c>
      <c r="I94" s="559">
        <f t="shared" si="114"/>
        <v>12</v>
      </c>
      <c r="J94" s="178">
        <f t="shared" si="115"/>
        <v>24.25</v>
      </c>
      <c r="K94" s="454">
        <f t="shared" si="116"/>
        <v>36.25</v>
      </c>
      <c r="L94" s="454"/>
      <c r="M94" s="223">
        <f t="shared" si="117"/>
        <v>0.66896551724137931</v>
      </c>
      <c r="N94" s="178">
        <f t="shared" si="118"/>
        <v>5.528999999999999</v>
      </c>
      <c r="O94" s="178">
        <f t="shared" si="162"/>
        <v>2.3496000000000001</v>
      </c>
      <c r="P94" s="223">
        <f t="shared" si="119"/>
        <v>0.23037499999999997</v>
      </c>
      <c r="Q94" s="223">
        <f t="shared" si="120"/>
        <v>24</v>
      </c>
      <c r="R94" s="223">
        <f t="shared" si="121"/>
        <v>0.24250000000000002</v>
      </c>
      <c r="S94" s="178">
        <f t="shared" si="122"/>
        <v>72.464137941528236</v>
      </c>
      <c r="T94" s="178">
        <f t="shared" si="123"/>
        <v>24</v>
      </c>
      <c r="U94" s="223">
        <f t="shared" si="124"/>
        <v>0.61619099294628332</v>
      </c>
      <c r="V94" s="223">
        <f t="shared" si="125"/>
        <v>2.4134147223729432</v>
      </c>
      <c r="W94" s="223">
        <f t="shared" si="126"/>
        <v>1.1942670791123842</v>
      </c>
      <c r="X94" s="203">
        <f t="shared" si="127"/>
        <v>350</v>
      </c>
      <c r="Y94" s="454">
        <f t="shared" si="163"/>
        <v>277.1863082792633</v>
      </c>
      <c r="AA94" s="223">
        <f t="shared" si="128"/>
        <v>0.48799916151346817</v>
      </c>
      <c r="AB94" s="179">
        <f t="shared" si="129"/>
        <v>0.94581280788177335</v>
      </c>
      <c r="AC94" s="179">
        <f t="shared" si="130"/>
        <v>8.077227500912576E-2</v>
      </c>
      <c r="AD94" s="179"/>
      <c r="AE94" s="179">
        <f t="shared" si="131"/>
        <v>0.56206185567010303</v>
      </c>
      <c r="AF94" s="563">
        <f t="shared" si="176"/>
        <v>1201.2421888835481</v>
      </c>
      <c r="AG94" s="546">
        <f t="shared" si="132"/>
        <v>2.8524639175257726E-2</v>
      </c>
      <c r="AI94" s="179">
        <f t="shared" si="133"/>
        <v>0.55121047406786861</v>
      </c>
      <c r="AJ94" s="179">
        <f t="shared" si="134"/>
        <v>0.61619099294628332</v>
      </c>
      <c r="AK94" s="179">
        <f t="shared" si="135"/>
        <v>1.4416229577379875</v>
      </c>
      <c r="AM94" s="563">
        <f t="shared" si="136"/>
        <v>97.9</v>
      </c>
      <c r="AN94" s="472">
        <f t="shared" si="137"/>
        <v>277.1863082792633</v>
      </c>
      <c r="AP94">
        <f t="shared" si="138"/>
        <v>97.9</v>
      </c>
      <c r="AQ94">
        <f t="shared" si="139"/>
        <v>277.1863082792633</v>
      </c>
      <c r="AS94" s="6">
        <f t="shared" si="164"/>
        <v>3.6076818014853274</v>
      </c>
      <c r="AT94" s="6">
        <f t="shared" si="140"/>
        <v>2.4134147223729432</v>
      </c>
      <c r="AU94" s="6">
        <f t="shared" si="165"/>
        <v>1.1942670791123842</v>
      </c>
      <c r="AV94" s="6">
        <f t="shared" si="141"/>
        <v>1.1942670791123842</v>
      </c>
      <c r="AW94" s="179">
        <f t="shared" si="166"/>
        <v>0.66896551724137931</v>
      </c>
      <c r="AX94" s="179">
        <f t="shared" si="142"/>
        <v>2.4732631578947366</v>
      </c>
      <c r="AY94" s="179">
        <f t="shared" si="143"/>
        <v>0.1019902333152469</v>
      </c>
      <c r="AZ94" s="179">
        <f t="shared" si="167"/>
        <v>24.249999999999993</v>
      </c>
      <c r="BA94" s="472">
        <f t="shared" si="144"/>
        <v>0.98447208883462967</v>
      </c>
      <c r="BB94" s="6">
        <f t="shared" si="145"/>
        <v>0.41024121770211369</v>
      </c>
      <c r="BC94" s="6"/>
      <c r="BD94" s="179">
        <f t="shared" si="168"/>
        <v>0.29097560809194778</v>
      </c>
      <c r="BE94" s="179">
        <f t="shared" si="146"/>
        <v>0.2046875067631064</v>
      </c>
      <c r="BF94" s="179"/>
      <c r="BG94" s="546">
        <f t="shared" si="147"/>
        <v>2.9633381576567575E-2</v>
      </c>
      <c r="BH94" s="546">
        <f t="shared" si="148"/>
        <v>4.643617021276595E-2</v>
      </c>
      <c r="BI94" s="546">
        <f t="shared" si="149"/>
        <v>3.4648288534907912E-3</v>
      </c>
      <c r="BJ94" s="546">
        <f t="shared" si="150"/>
        <v>1.8212006661160973E-2</v>
      </c>
      <c r="BK94">
        <f t="shared" si="151"/>
        <v>3.48E-3</v>
      </c>
      <c r="BL94" s="546">
        <f t="shared" si="152"/>
        <v>0.10227655961395708</v>
      </c>
      <c r="BM94" s="472">
        <f t="shared" si="169"/>
        <v>102.27655961395708</v>
      </c>
      <c r="BN94" s="546">
        <f t="shared" si="153"/>
        <v>2.937E-2</v>
      </c>
      <c r="BO94" s="546"/>
      <c r="BQ94" s="472">
        <f t="shared" si="170"/>
        <v>29.37</v>
      </c>
      <c r="BR94" s="546">
        <f t="shared" si="154"/>
        <v>1.6933360900895759E-2</v>
      </c>
      <c r="BS94" s="546">
        <f t="shared" si="155"/>
        <v>8.379395084979346E-3</v>
      </c>
      <c r="BT94" s="546">
        <f t="shared" si="156"/>
        <v>1.9062848865117613E-2</v>
      </c>
      <c r="BU94" s="546">
        <f t="shared" si="157"/>
        <v>4.4465648700216895E-2</v>
      </c>
      <c r="BV94" s="546">
        <f t="shared" si="158"/>
        <v>1.9470369540873458E-2</v>
      </c>
      <c r="BW94" s="472">
        <f t="shared" si="171"/>
        <v>63.936018241090352</v>
      </c>
      <c r="BX94" s="179">
        <f t="shared" si="172"/>
        <v>0.1955825778550474</v>
      </c>
      <c r="BY94" s="6">
        <f t="shared" si="173"/>
        <v>2.3496000000000001</v>
      </c>
      <c r="BZ94" s="179">
        <f t="shared" si="174"/>
        <v>0.92315577689523776</v>
      </c>
      <c r="CA94" s="6">
        <f t="shared" si="175"/>
        <v>92.315577689523778</v>
      </c>
      <c r="CD94" s="581">
        <f t="shared" si="159"/>
        <v>-50</v>
      </c>
      <c r="CE94">
        <f t="shared" si="160"/>
        <v>-50</v>
      </c>
    </row>
    <row r="95" spans="5:83" x14ac:dyDescent="0.2">
      <c r="E95" s="176">
        <v>90</v>
      </c>
      <c r="F95" s="223">
        <f t="shared" si="161"/>
        <v>9.9000000000000005E-2</v>
      </c>
      <c r="G95" s="223"/>
      <c r="H95" s="223">
        <f t="shared" si="113"/>
        <v>2.3760000000000003</v>
      </c>
      <c r="I95" s="559">
        <f t="shared" si="114"/>
        <v>12</v>
      </c>
      <c r="J95" s="178">
        <f t="shared" si="115"/>
        <v>24.25</v>
      </c>
      <c r="K95" s="454">
        <f t="shared" si="116"/>
        <v>36.25</v>
      </c>
      <c r="L95" s="454"/>
      <c r="M95" s="223">
        <f t="shared" si="117"/>
        <v>0.66896551724137931</v>
      </c>
      <c r="N95" s="178">
        <f t="shared" si="118"/>
        <v>5.528999999999999</v>
      </c>
      <c r="O95" s="178">
        <f t="shared" si="162"/>
        <v>2.3760000000000003</v>
      </c>
      <c r="P95" s="223">
        <f t="shared" si="119"/>
        <v>0.23037499999999997</v>
      </c>
      <c r="Q95" s="223">
        <f t="shared" si="120"/>
        <v>24</v>
      </c>
      <c r="R95" s="223">
        <f t="shared" si="121"/>
        <v>0.24250000000000002</v>
      </c>
      <c r="S95" s="178">
        <f t="shared" si="122"/>
        <v>71.526644810212133</v>
      </c>
      <c r="T95" s="178">
        <f t="shared" si="123"/>
        <v>24</v>
      </c>
      <c r="U95" s="223">
        <f t="shared" si="124"/>
        <v>0.62311448724905061</v>
      </c>
      <c r="V95" s="223">
        <f t="shared" si="125"/>
        <v>2.4405317417254482</v>
      </c>
      <c r="W95" s="223">
        <f t="shared" si="126"/>
        <v>1.2076858103383661</v>
      </c>
      <c r="X95" s="203">
        <f t="shared" si="127"/>
        <v>350</v>
      </c>
      <c r="Y95" s="454">
        <f t="shared" si="163"/>
        <v>274.10646040949371</v>
      </c>
      <c r="AA95" s="223">
        <f t="shared" si="128"/>
        <v>0.48799916151346817</v>
      </c>
      <c r="AB95" s="179">
        <f t="shared" si="129"/>
        <v>0.94581280788177335</v>
      </c>
      <c r="AC95" s="179">
        <f t="shared" si="130"/>
        <v>8.077227500912576E-2</v>
      </c>
      <c r="AD95" s="179"/>
      <c r="AE95" s="179">
        <f t="shared" si="131"/>
        <v>0.56206185567010303</v>
      </c>
      <c r="AF95" s="563">
        <f t="shared" si="176"/>
        <v>1214.7392921294309</v>
      </c>
      <c r="AG95" s="546">
        <f t="shared" si="132"/>
        <v>2.8524639175257726E-2</v>
      </c>
      <c r="AI95" s="179">
        <f t="shared" si="133"/>
        <v>0.5542985120902989</v>
      </c>
      <c r="AJ95" s="179">
        <f t="shared" si="134"/>
        <v>0.62311448724905061</v>
      </c>
      <c r="AK95" s="179">
        <f t="shared" si="135"/>
        <v>1.4467514720363337</v>
      </c>
      <c r="AM95" s="563">
        <f t="shared" si="136"/>
        <v>99</v>
      </c>
      <c r="AN95" s="472">
        <f t="shared" si="137"/>
        <v>274.10646040949371</v>
      </c>
      <c r="AP95">
        <f t="shared" si="138"/>
        <v>99</v>
      </c>
      <c r="AQ95">
        <f t="shared" si="139"/>
        <v>274.10646040949371</v>
      </c>
      <c r="AS95" s="6">
        <f t="shared" si="164"/>
        <v>3.6482175520638145</v>
      </c>
      <c r="AT95" s="6">
        <f t="shared" si="140"/>
        <v>2.4405317417254482</v>
      </c>
      <c r="AU95" s="6">
        <f t="shared" si="165"/>
        <v>1.2076858103383663</v>
      </c>
      <c r="AV95" s="6">
        <f t="shared" si="141"/>
        <v>1.2076858103383661</v>
      </c>
      <c r="AW95" s="179">
        <f t="shared" si="166"/>
        <v>0.66896551724137931</v>
      </c>
      <c r="AX95" s="179">
        <f t="shared" si="142"/>
        <v>2.5010526315789479</v>
      </c>
      <c r="AY95" s="179">
        <f t="shared" si="143"/>
        <v>0.10313619099294631</v>
      </c>
      <c r="AZ95" s="179">
        <f t="shared" si="167"/>
        <v>24.249999999999996</v>
      </c>
      <c r="BA95" s="472">
        <f t="shared" si="144"/>
        <v>1.0067193434617474</v>
      </c>
      <c r="BB95" s="6">
        <f t="shared" si="145"/>
        <v>0.41951191306490621</v>
      </c>
      <c r="BC95" s="6"/>
      <c r="BD95" s="179">
        <f t="shared" si="168"/>
        <v>0.29424499694691353</v>
      </c>
      <c r="BE95" s="179">
        <f t="shared" si="146"/>
        <v>0.20698736638965817</v>
      </c>
      <c r="BF95" s="179"/>
      <c r="BG95" s="546">
        <f t="shared" si="147"/>
        <v>3.03030413799012E-2</v>
      </c>
      <c r="BH95" s="546">
        <f t="shared" si="148"/>
        <v>4.643617021276595E-2</v>
      </c>
      <c r="BI95" s="546">
        <f t="shared" si="149"/>
        <v>3.4263307551186712E-3</v>
      </c>
      <c r="BJ95" s="546">
        <f t="shared" si="150"/>
        <v>1.8009651031592518E-2</v>
      </c>
      <c r="BK95">
        <f t="shared" si="151"/>
        <v>3.48E-3</v>
      </c>
      <c r="BL95" s="546">
        <f t="shared" si="152"/>
        <v>0.10273389972075291</v>
      </c>
      <c r="BM95" s="472">
        <f t="shared" si="169"/>
        <v>102.7338997207529</v>
      </c>
      <c r="BN95" s="546">
        <f t="shared" si="153"/>
        <v>2.9700000000000001E-2</v>
      </c>
      <c r="BO95" s="546"/>
      <c r="BQ95" s="472">
        <f t="shared" si="170"/>
        <v>29.7</v>
      </c>
      <c r="BR95" s="546">
        <f t="shared" si="154"/>
        <v>1.7316023645657829E-2</v>
      </c>
      <c r="BS95" s="546">
        <f t="shared" si="155"/>
        <v>8.5687539689853192E-3</v>
      </c>
      <c r="BT95" s="546">
        <f t="shared" si="156"/>
        <v>1.9062848865117589E-2</v>
      </c>
      <c r="BU95" s="546">
        <f t="shared" si="157"/>
        <v>4.5040896366641915E-2</v>
      </c>
      <c r="BV95" s="546">
        <f t="shared" si="158"/>
        <v>1.968913773796193E-2</v>
      </c>
      <c r="BW95" s="472">
        <f t="shared" si="171"/>
        <v>64.730034104603845</v>
      </c>
      <c r="BX95" s="179">
        <f t="shared" si="172"/>
        <v>0.19716393382535674</v>
      </c>
      <c r="BY95" s="6">
        <f t="shared" si="173"/>
        <v>2.3760000000000003</v>
      </c>
      <c r="BZ95" s="179">
        <f t="shared" si="174"/>
        <v>0.92337684698842881</v>
      </c>
      <c r="CA95" s="6">
        <f t="shared" si="175"/>
        <v>92.337684698842878</v>
      </c>
      <c r="CD95" s="581">
        <f t="shared" si="159"/>
        <v>-50</v>
      </c>
      <c r="CE95">
        <f t="shared" si="160"/>
        <v>-50</v>
      </c>
    </row>
    <row r="96" spans="5:83" x14ac:dyDescent="0.2">
      <c r="E96" s="176">
        <v>91</v>
      </c>
      <c r="F96" s="223">
        <f t="shared" si="161"/>
        <v>0.10010000000000001</v>
      </c>
      <c r="G96" s="223"/>
      <c r="H96" s="223">
        <f t="shared" si="113"/>
        <v>2.4024000000000001</v>
      </c>
      <c r="I96" s="559">
        <f t="shared" si="114"/>
        <v>12</v>
      </c>
      <c r="J96" s="178">
        <f t="shared" si="115"/>
        <v>24.25</v>
      </c>
      <c r="K96" s="454">
        <f t="shared" si="116"/>
        <v>36.25</v>
      </c>
      <c r="L96" s="454"/>
      <c r="M96" s="223">
        <f t="shared" si="117"/>
        <v>0.66896551724137931</v>
      </c>
      <c r="N96" s="178">
        <f t="shared" si="118"/>
        <v>5.528999999999999</v>
      </c>
      <c r="O96" s="178">
        <f t="shared" si="162"/>
        <v>2.4024000000000001</v>
      </c>
      <c r="P96" s="223">
        <f t="shared" si="119"/>
        <v>0.23037499999999997</v>
      </c>
      <c r="Q96" s="223">
        <f t="shared" si="120"/>
        <v>24</v>
      </c>
      <c r="R96" s="223">
        <f t="shared" si="121"/>
        <v>0.24250000000000002</v>
      </c>
      <c r="S96" s="178">
        <f t="shared" si="122"/>
        <v>70.60976970756694</v>
      </c>
      <c r="T96" s="223">
        <f t="shared" si="123"/>
        <v>24</v>
      </c>
      <c r="U96" s="223">
        <f t="shared" si="124"/>
        <v>0.63003798155181778</v>
      </c>
      <c r="V96" s="223">
        <f t="shared" si="125"/>
        <v>2.4676487610779527</v>
      </c>
      <c r="W96" s="223">
        <f t="shared" si="126"/>
        <v>1.2211045415643478</v>
      </c>
      <c r="X96" s="203">
        <f t="shared" si="127"/>
        <v>350</v>
      </c>
      <c r="Y96" s="454">
        <f t="shared" si="163"/>
        <v>271.09430150389488</v>
      </c>
      <c r="AA96" s="223">
        <f t="shared" si="128"/>
        <v>0.48799916151346817</v>
      </c>
      <c r="AB96" s="179">
        <f t="shared" si="129"/>
        <v>0.94581280788177335</v>
      </c>
      <c r="AC96" s="179">
        <f t="shared" si="130"/>
        <v>8.077227500912576E-2</v>
      </c>
      <c r="AD96" s="179"/>
      <c r="AE96" s="179">
        <f t="shared" si="131"/>
        <v>0.56206185567010303</v>
      </c>
      <c r="AF96" s="563">
        <f t="shared" si="176"/>
        <v>1228.2363953753136</v>
      </c>
      <c r="AG96" s="546">
        <f t="shared" si="132"/>
        <v>2.8524639175257726E-2</v>
      </c>
      <c r="AI96" s="179">
        <f t="shared" si="133"/>
        <v>0.55736944147388801</v>
      </c>
      <c r="AJ96" s="179">
        <f t="shared" si="134"/>
        <v>0.63003798155181778</v>
      </c>
      <c r="AK96" s="179">
        <f t="shared" si="135"/>
        <v>1.4518799863346799</v>
      </c>
      <c r="AM96" s="563">
        <f t="shared" si="136"/>
        <v>100.10000000000001</v>
      </c>
      <c r="AN96" s="472">
        <f t="shared" si="137"/>
        <v>271.09430150389488</v>
      </c>
      <c r="AP96">
        <f t="shared" si="138"/>
        <v>100.10000000000001</v>
      </c>
      <c r="AQ96">
        <f t="shared" si="139"/>
        <v>271.09430150389488</v>
      </c>
      <c r="AS96" s="6">
        <f t="shared" si="164"/>
        <v>3.6887533026423012</v>
      </c>
      <c r="AT96" s="6">
        <f t="shared" si="140"/>
        <v>2.4676487610779527</v>
      </c>
      <c r="AU96" s="6">
        <f t="shared" si="165"/>
        <v>1.2211045415643484</v>
      </c>
      <c r="AV96" s="6">
        <f t="shared" si="141"/>
        <v>1.2211045415643478</v>
      </c>
      <c r="AW96" s="179">
        <f t="shared" si="166"/>
        <v>0.6689655172413792</v>
      </c>
      <c r="AX96" s="179">
        <f t="shared" si="142"/>
        <v>2.5288421052631578</v>
      </c>
      <c r="AY96" s="179">
        <f t="shared" si="143"/>
        <v>0.10428214867064574</v>
      </c>
      <c r="AZ96" s="179">
        <f t="shared" si="167"/>
        <v>24.249999999999986</v>
      </c>
      <c r="BA96" s="472">
        <f t="shared" si="144"/>
        <v>1.0292151707662629</v>
      </c>
      <c r="BB96" s="6">
        <f t="shared" si="145"/>
        <v>0.42888619161610975</v>
      </c>
      <c r="BC96" s="6"/>
      <c r="BD96" s="179">
        <f t="shared" si="168"/>
        <v>0.29751438580187917</v>
      </c>
      <c r="BE96" s="179">
        <f t="shared" si="146"/>
        <v>0.20928722601620994</v>
      </c>
      <c r="BF96" s="179"/>
      <c r="BG96" s="546">
        <f t="shared" si="147"/>
        <v>3.0980183415674288E-2</v>
      </c>
      <c r="BH96" s="546">
        <f t="shared" si="148"/>
        <v>4.643617021276595E-2</v>
      </c>
      <c r="BI96" s="546">
        <f t="shared" si="149"/>
        <v>3.3886787687986857E-3</v>
      </c>
      <c r="BJ96" s="546">
        <f t="shared" si="150"/>
        <v>1.7811742778498094E-2</v>
      </c>
      <c r="BK96">
        <f t="shared" si="151"/>
        <v>3.48E-3</v>
      </c>
      <c r="BL96" s="546">
        <f t="shared" si="152"/>
        <v>0.10320463915812388</v>
      </c>
      <c r="BM96" s="472">
        <f t="shared" si="169"/>
        <v>103.20463915812388</v>
      </c>
      <c r="BN96" s="546">
        <f t="shared" si="153"/>
        <v>3.0030000000000001E-2</v>
      </c>
      <c r="BO96" s="546"/>
      <c r="BQ96" s="472">
        <f t="shared" si="170"/>
        <v>30.03</v>
      </c>
      <c r="BR96" s="546">
        <f t="shared" si="154"/>
        <v>1.7702961951813881E-2</v>
      </c>
      <c r="BS96" s="546">
        <f t="shared" si="155"/>
        <v>8.7602285947120297E-3</v>
      </c>
      <c r="BT96" s="546">
        <f t="shared" si="156"/>
        <v>1.9062848865117579E-2</v>
      </c>
      <c r="BU96" s="546">
        <f t="shared" si="157"/>
        <v>4.5622625029193911E-2</v>
      </c>
      <c r="BV96" s="546">
        <f t="shared" si="158"/>
        <v>1.9907905935050395E-2</v>
      </c>
      <c r="BW96" s="472">
        <f t="shared" si="171"/>
        <v>65.530530964244292</v>
      </c>
      <c r="BX96" s="179">
        <f t="shared" si="172"/>
        <v>0.19876517012236819</v>
      </c>
      <c r="BY96" s="6">
        <f t="shared" si="173"/>
        <v>2.4024000000000001</v>
      </c>
      <c r="BZ96" s="179">
        <f t="shared" si="174"/>
        <v>0.92358610194945157</v>
      </c>
      <c r="CA96" s="6">
        <f t="shared" si="175"/>
        <v>92.358610194945157</v>
      </c>
      <c r="CD96" s="581">
        <f t="shared" si="159"/>
        <v>-50</v>
      </c>
      <c r="CE96">
        <f t="shared" si="160"/>
        <v>-50</v>
      </c>
    </row>
    <row r="97" spans="5:83" x14ac:dyDescent="0.2">
      <c r="E97" s="176">
        <v>92</v>
      </c>
      <c r="F97" s="223">
        <f t="shared" si="161"/>
        <v>0.1012</v>
      </c>
      <c r="G97" s="223"/>
      <c r="H97" s="223">
        <f t="shared" si="113"/>
        <v>2.4287999999999998</v>
      </c>
      <c r="I97" s="559">
        <f t="shared" si="114"/>
        <v>12</v>
      </c>
      <c r="J97" s="178">
        <f t="shared" si="115"/>
        <v>24.25</v>
      </c>
      <c r="K97" s="454">
        <f t="shared" si="116"/>
        <v>36.25</v>
      </c>
      <c r="L97" s="454"/>
      <c r="M97" s="223">
        <f t="shared" si="117"/>
        <v>0.66896551724137931</v>
      </c>
      <c r="N97" s="178">
        <f t="shared" si="118"/>
        <v>5.528999999999999</v>
      </c>
      <c r="O97" s="178">
        <f t="shared" si="162"/>
        <v>2.4287999999999998</v>
      </c>
      <c r="P97" s="223">
        <f t="shared" si="119"/>
        <v>0.23037499999999997</v>
      </c>
      <c r="Q97" s="223">
        <f t="shared" si="120"/>
        <v>24</v>
      </c>
      <c r="R97" s="223">
        <f t="shared" si="121"/>
        <v>0.24250000000000002</v>
      </c>
      <c r="S97" s="178">
        <f t="shared" si="122"/>
        <v>69.71284038003688</v>
      </c>
      <c r="T97" s="550">
        <f t="shared" si="123"/>
        <v>24</v>
      </c>
      <c r="U97" s="550">
        <f t="shared" si="124"/>
        <v>0.63696147585458496</v>
      </c>
      <c r="V97" s="223">
        <f t="shared" si="125"/>
        <v>2.4947657804304577</v>
      </c>
      <c r="W97" s="223">
        <f t="shared" si="126"/>
        <v>1.2345232727903295</v>
      </c>
      <c r="X97" s="203">
        <f t="shared" si="127"/>
        <v>350</v>
      </c>
      <c r="Y97" s="454">
        <f t="shared" si="163"/>
        <v>268.14762431363522</v>
      </c>
      <c r="AA97" s="223">
        <f t="shared" si="128"/>
        <v>0.48799916151346817</v>
      </c>
      <c r="AB97" s="179">
        <f t="shared" si="129"/>
        <v>0.94581280788177335</v>
      </c>
      <c r="AC97" s="179">
        <f t="shared" si="130"/>
        <v>8.077227500912576E-2</v>
      </c>
      <c r="AD97" s="179"/>
      <c r="AE97" s="179">
        <f t="shared" si="131"/>
        <v>0.56206185567010303</v>
      </c>
      <c r="AF97" s="563">
        <f t="shared" si="176"/>
        <v>1241.7334986211958</v>
      </c>
      <c r="AG97" s="546">
        <f t="shared" si="132"/>
        <v>2.8524639175257726E-2</v>
      </c>
      <c r="AI97" s="179">
        <f t="shared" si="133"/>
        <v>0.56042354346717849</v>
      </c>
      <c r="AJ97" s="179">
        <f t="shared" si="134"/>
        <v>0.63696147585458496</v>
      </c>
      <c r="AK97" s="179">
        <f t="shared" si="135"/>
        <v>1.4570085006330258</v>
      </c>
      <c r="AM97" s="563">
        <f t="shared" si="136"/>
        <v>101.2</v>
      </c>
      <c r="AN97" s="472">
        <f t="shared" si="137"/>
        <v>268.14762431363522</v>
      </c>
      <c r="AP97">
        <f t="shared" si="138"/>
        <v>101.2</v>
      </c>
      <c r="AQ97">
        <f t="shared" si="139"/>
        <v>268.14762431363522</v>
      </c>
      <c r="AS97" s="6">
        <f t="shared" si="164"/>
        <v>3.729289053220787</v>
      </c>
      <c r="AT97" s="6">
        <f t="shared" si="140"/>
        <v>2.4947657804304577</v>
      </c>
      <c r="AU97" s="6">
        <f t="shared" si="165"/>
        <v>1.2345232727903293</v>
      </c>
      <c r="AV97" s="6">
        <f t="shared" si="141"/>
        <v>1.2345232727903295</v>
      </c>
      <c r="AW97" s="179">
        <f t="shared" si="166"/>
        <v>0.66896551724137943</v>
      </c>
      <c r="AX97" s="179">
        <f t="shared" si="142"/>
        <v>2.556631578947369</v>
      </c>
      <c r="AY97" s="179">
        <f t="shared" si="143"/>
        <v>0.10542810634834505</v>
      </c>
      <c r="AZ97" s="179">
        <f t="shared" si="167"/>
        <v>24.250000000000014</v>
      </c>
      <c r="BA97" s="472">
        <f t="shared" si="144"/>
        <v>1.0519595707481761</v>
      </c>
      <c r="BB97" s="6">
        <f t="shared" si="145"/>
        <v>0.43836405335572393</v>
      </c>
      <c r="BC97" s="6"/>
      <c r="BD97" s="179">
        <f t="shared" si="168"/>
        <v>0.30078377465684492</v>
      </c>
      <c r="BE97" s="179">
        <f t="shared" si="146"/>
        <v>0.21158708564276163</v>
      </c>
      <c r="BF97" s="179"/>
      <c r="BG97" s="546">
        <f t="shared" si="147"/>
        <v>3.1664807683886881E-2</v>
      </c>
      <c r="BH97" s="546">
        <f t="shared" si="148"/>
        <v>4.6436170212765956E-2</v>
      </c>
      <c r="BI97" s="546">
        <f t="shared" si="149"/>
        <v>3.35184530392044E-3</v>
      </c>
      <c r="BJ97" s="546">
        <f t="shared" si="150"/>
        <v>1.7618136878731816E-2</v>
      </c>
      <c r="BK97">
        <f t="shared" si="151"/>
        <v>3.48E-3</v>
      </c>
      <c r="BL97" s="546">
        <f t="shared" si="152"/>
        <v>0.10368861663560958</v>
      </c>
      <c r="BM97" s="472">
        <f t="shared" si="169"/>
        <v>103.68861663560958</v>
      </c>
      <c r="BN97" s="546">
        <f t="shared" si="153"/>
        <v>3.0359999999999998E-2</v>
      </c>
      <c r="BO97" s="546"/>
      <c r="BQ97" s="472">
        <f t="shared" si="170"/>
        <v>30.36</v>
      </c>
      <c r="BR97" s="546">
        <f t="shared" si="154"/>
        <v>1.8094175819363935E-2</v>
      </c>
      <c r="BS97" s="546">
        <f t="shared" si="155"/>
        <v>8.953818962159469E-3</v>
      </c>
      <c r="BT97" s="546">
        <f t="shared" si="156"/>
        <v>1.9062848865117603E-2</v>
      </c>
      <c r="BU97" s="546">
        <f t="shared" si="157"/>
        <v>4.6210836483766018E-2</v>
      </c>
      <c r="BV97" s="546">
        <f t="shared" si="158"/>
        <v>2.0126674132138863E-2</v>
      </c>
      <c r="BW97" s="472">
        <f t="shared" si="171"/>
        <v>66.33751061590489</v>
      </c>
      <c r="BX97" s="179">
        <f t="shared" si="172"/>
        <v>0.20038612725151445</v>
      </c>
      <c r="BY97" s="6">
        <f t="shared" si="173"/>
        <v>2.4287999999999998</v>
      </c>
      <c r="BZ97" s="179">
        <f t="shared" si="174"/>
        <v>0.92378397057001316</v>
      </c>
      <c r="CA97" s="6">
        <f t="shared" si="175"/>
        <v>92.378397057001322</v>
      </c>
      <c r="CD97" s="581">
        <f t="shared" si="159"/>
        <v>-50</v>
      </c>
      <c r="CE97">
        <f t="shared" si="160"/>
        <v>-50</v>
      </c>
    </row>
    <row r="98" spans="5:83" x14ac:dyDescent="0.2">
      <c r="E98" s="176">
        <v>93</v>
      </c>
      <c r="F98" s="223">
        <f t="shared" si="161"/>
        <v>0.1023</v>
      </c>
      <c r="G98" s="223"/>
      <c r="H98" s="223">
        <f t="shared" si="113"/>
        <v>2.4552</v>
      </c>
      <c r="I98" s="559">
        <f t="shared" si="114"/>
        <v>12</v>
      </c>
      <c r="J98" s="178">
        <f t="shared" si="115"/>
        <v>24.25</v>
      </c>
      <c r="K98" s="454">
        <f t="shared" si="116"/>
        <v>36.25</v>
      </c>
      <c r="L98" s="454"/>
      <c r="M98" s="223">
        <f t="shared" si="117"/>
        <v>0.66896551724137931</v>
      </c>
      <c r="N98" s="178">
        <f t="shared" si="118"/>
        <v>5.528999999999999</v>
      </c>
      <c r="O98" s="178">
        <f t="shared" si="162"/>
        <v>2.4552</v>
      </c>
      <c r="P98" s="223">
        <f t="shared" si="119"/>
        <v>0.23037499999999997</v>
      </c>
      <c r="Q98" s="223">
        <f t="shared" si="120"/>
        <v>24</v>
      </c>
      <c r="R98" s="223">
        <f t="shared" si="121"/>
        <v>0.24250000000000002</v>
      </c>
      <c r="S98" s="178">
        <f t="shared" si="122"/>
        <v>68.835213488704639</v>
      </c>
      <c r="T98" s="550">
        <f t="shared" si="123"/>
        <v>24</v>
      </c>
      <c r="U98" s="550">
        <f t="shared" si="124"/>
        <v>0.64388497015735224</v>
      </c>
      <c r="V98" s="223">
        <f t="shared" si="125"/>
        <v>2.5218827997829627</v>
      </c>
      <c r="W98" s="223">
        <f t="shared" si="126"/>
        <v>1.2479420040163116</v>
      </c>
      <c r="X98" s="203">
        <f t="shared" si="127"/>
        <v>350</v>
      </c>
      <c r="Y98" s="454">
        <f t="shared" si="163"/>
        <v>265.26431652531659</v>
      </c>
      <c r="AA98" s="223">
        <f t="shared" si="128"/>
        <v>0.48799916151346817</v>
      </c>
      <c r="AB98" s="179">
        <f t="shared" si="129"/>
        <v>0.94581280788177335</v>
      </c>
      <c r="AC98" s="179">
        <f t="shared" si="130"/>
        <v>8.077227500912576E-2</v>
      </c>
      <c r="AD98" s="179"/>
      <c r="AE98" s="179">
        <f t="shared" si="131"/>
        <v>0.56206185567010303</v>
      </c>
      <c r="AF98" s="563">
        <f t="shared" si="176"/>
        <v>1255.2306018670786</v>
      </c>
      <c r="AG98" s="546">
        <f t="shared" si="132"/>
        <v>2.8524639175257726E-2</v>
      </c>
      <c r="AI98" s="179">
        <f t="shared" si="133"/>
        <v>0.56346109169640379</v>
      </c>
      <c r="AJ98" s="179">
        <f t="shared" si="134"/>
        <v>0.64388497015735224</v>
      </c>
      <c r="AK98" s="179">
        <f t="shared" si="135"/>
        <v>1.4621370149313719</v>
      </c>
      <c r="AM98" s="563">
        <f t="shared" si="136"/>
        <v>102.3</v>
      </c>
      <c r="AN98" s="472">
        <f t="shared" si="137"/>
        <v>265.26431652531659</v>
      </c>
      <c r="AP98">
        <f t="shared" si="138"/>
        <v>102.3</v>
      </c>
      <c r="AQ98">
        <f t="shared" si="139"/>
        <v>265.26431652531659</v>
      </c>
      <c r="AS98" s="6">
        <f t="shared" si="164"/>
        <v>3.7698248037992732</v>
      </c>
      <c r="AT98" s="6">
        <f t="shared" si="140"/>
        <v>2.5218827997829627</v>
      </c>
      <c r="AU98" s="6">
        <f t="shared" si="165"/>
        <v>1.2479420040163105</v>
      </c>
      <c r="AV98" s="6">
        <f t="shared" si="141"/>
        <v>1.2479420040163116</v>
      </c>
      <c r="AW98" s="179">
        <f t="shared" si="166"/>
        <v>0.66896551724137943</v>
      </c>
      <c r="AX98" s="179">
        <f t="shared" si="142"/>
        <v>2.5844210526315798</v>
      </c>
      <c r="AY98" s="179">
        <f t="shared" si="143"/>
        <v>0.10657406402604447</v>
      </c>
      <c r="AZ98" s="179">
        <f t="shared" si="167"/>
        <v>24.250000000000014</v>
      </c>
      <c r="BA98" s="472">
        <f t="shared" si="144"/>
        <v>1.0749525434074878</v>
      </c>
      <c r="BB98" s="6">
        <f t="shared" si="145"/>
        <v>0.44794549828374924</v>
      </c>
      <c r="BC98" s="6"/>
      <c r="BD98" s="179">
        <f t="shared" si="168"/>
        <v>0.30405316351181066</v>
      </c>
      <c r="BE98" s="179">
        <f t="shared" si="146"/>
        <v>0.2138869452693134</v>
      </c>
      <c r="BF98" s="179"/>
      <c r="BG98" s="546">
        <f t="shared" si="147"/>
        <v>3.2356914184538954E-2</v>
      </c>
      <c r="BH98" s="546">
        <f t="shared" si="148"/>
        <v>4.6436170212765963E-2</v>
      </c>
      <c r="BI98" s="546">
        <f t="shared" si="149"/>
        <v>3.3158039565664571E-3</v>
      </c>
      <c r="BJ98" s="546">
        <f t="shared" si="150"/>
        <v>1.7428694546702442E-2</v>
      </c>
      <c r="BK98">
        <f t="shared" si="151"/>
        <v>3.48E-3</v>
      </c>
      <c r="BL98" s="546">
        <f t="shared" si="152"/>
        <v>0.10418567842550276</v>
      </c>
      <c r="BM98" s="472">
        <f t="shared" si="169"/>
        <v>104.18567842550276</v>
      </c>
      <c r="BN98" s="546">
        <f t="shared" si="153"/>
        <v>3.0689999999999999E-2</v>
      </c>
      <c r="BO98" s="546"/>
      <c r="BQ98" s="472">
        <f t="shared" si="170"/>
        <v>30.689999999999998</v>
      </c>
      <c r="BR98" s="546">
        <f t="shared" si="154"/>
        <v>1.8489665248307974E-2</v>
      </c>
      <c r="BS98" s="546">
        <f t="shared" si="155"/>
        <v>9.1495250713276542E-3</v>
      </c>
      <c r="BT98" s="546">
        <f t="shared" si="156"/>
        <v>1.9062848865117638E-2</v>
      </c>
      <c r="BU98" s="546">
        <f t="shared" si="157"/>
        <v>4.680553254651848E-2</v>
      </c>
      <c r="BV98" s="546">
        <f t="shared" si="158"/>
        <v>2.0345442329227335E-2</v>
      </c>
      <c r="BW98" s="472">
        <f t="shared" si="171"/>
        <v>67.150974875745817</v>
      </c>
      <c r="BX98" s="179">
        <f t="shared" si="172"/>
        <v>0.20202665330124858</v>
      </c>
      <c r="BY98" s="6">
        <f t="shared" si="173"/>
        <v>2.4552</v>
      </c>
      <c r="BZ98" s="179">
        <f t="shared" si="174"/>
        <v>0.92397086148061269</v>
      </c>
      <c r="CA98" s="6">
        <f t="shared" si="175"/>
        <v>92.397086148061263</v>
      </c>
      <c r="CD98" s="581">
        <f t="shared" si="159"/>
        <v>-50</v>
      </c>
      <c r="CE98">
        <f t="shared" si="160"/>
        <v>-50</v>
      </c>
    </row>
    <row r="99" spans="5:83" x14ac:dyDescent="0.2">
      <c r="E99" s="176">
        <v>94</v>
      </c>
      <c r="F99" s="223">
        <f t="shared" si="161"/>
        <v>0.10339999999999999</v>
      </c>
      <c r="G99" s="223"/>
      <c r="H99" s="223">
        <f t="shared" si="113"/>
        <v>2.4815999999999998</v>
      </c>
      <c r="I99" s="559">
        <f t="shared" si="114"/>
        <v>12</v>
      </c>
      <c r="J99" s="178">
        <f t="shared" si="115"/>
        <v>24.25</v>
      </c>
      <c r="K99" s="454">
        <f t="shared" si="116"/>
        <v>36.25</v>
      </c>
      <c r="L99" s="454"/>
      <c r="M99" s="223">
        <f t="shared" si="117"/>
        <v>0.66896551724137931</v>
      </c>
      <c r="N99" s="178">
        <f t="shared" si="118"/>
        <v>5.528999999999999</v>
      </c>
      <c r="O99" s="178">
        <f t="shared" si="162"/>
        <v>2.4815999999999998</v>
      </c>
      <c r="P99" s="223">
        <f t="shared" si="119"/>
        <v>0.23037499999999997</v>
      </c>
      <c r="Q99" s="223">
        <f t="shared" si="120"/>
        <v>24</v>
      </c>
      <c r="R99" s="223">
        <f t="shared" si="121"/>
        <v>0.24250000000000002</v>
      </c>
      <c r="S99" s="178">
        <f t="shared" si="122"/>
        <v>67.976273071283046</v>
      </c>
      <c r="T99" s="550">
        <f t="shared" si="123"/>
        <v>24</v>
      </c>
      <c r="U99" s="550">
        <f t="shared" si="124"/>
        <v>0.65080846446011942</v>
      </c>
      <c r="V99" s="223">
        <f t="shared" si="125"/>
        <v>2.5489998191354677</v>
      </c>
      <c r="W99" s="223">
        <f t="shared" si="126"/>
        <v>1.2613607352422933</v>
      </c>
      <c r="X99" s="203">
        <f t="shared" si="127"/>
        <v>350</v>
      </c>
      <c r="Y99" s="454">
        <f t="shared" si="163"/>
        <v>262.44235571121743</v>
      </c>
      <c r="AA99" s="223">
        <f t="shared" si="128"/>
        <v>0.48799916151346817</v>
      </c>
      <c r="AB99" s="179">
        <f t="shared" si="129"/>
        <v>0.94581280788177335</v>
      </c>
      <c r="AC99" s="179">
        <f t="shared" si="130"/>
        <v>8.077227500912576E-2</v>
      </c>
      <c r="AD99" s="179"/>
      <c r="AE99" s="179">
        <f t="shared" si="131"/>
        <v>0.56206185567010303</v>
      </c>
      <c r="AF99" s="563">
        <f t="shared" si="176"/>
        <v>1268.7277051129608</v>
      </c>
      <c r="AG99" s="546">
        <f t="shared" si="132"/>
        <v>2.8524639175257726E-2</v>
      </c>
      <c r="AI99" s="179">
        <f t="shared" si="133"/>
        <v>0.56648235245159917</v>
      </c>
      <c r="AJ99" s="179">
        <f t="shared" si="134"/>
        <v>0.65080846446011942</v>
      </c>
      <c r="AK99" s="179">
        <f t="shared" si="135"/>
        <v>1.4672655292297181</v>
      </c>
      <c r="AM99" s="563">
        <f t="shared" si="136"/>
        <v>103.39999999999999</v>
      </c>
      <c r="AN99" s="472">
        <f t="shared" si="137"/>
        <v>262.44235571121743</v>
      </c>
      <c r="AP99">
        <f t="shared" si="138"/>
        <v>103.39999999999999</v>
      </c>
      <c r="AQ99">
        <f t="shared" si="139"/>
        <v>262.44235571121743</v>
      </c>
      <c r="AS99" s="6">
        <f t="shared" si="164"/>
        <v>3.8103605543777612</v>
      </c>
      <c r="AT99" s="6">
        <f t="shared" si="140"/>
        <v>2.5489998191354677</v>
      </c>
      <c r="AU99" s="6">
        <f t="shared" si="165"/>
        <v>1.2613607352422935</v>
      </c>
      <c r="AV99" s="6">
        <f t="shared" si="141"/>
        <v>1.2613607352422933</v>
      </c>
      <c r="AW99" s="179">
        <f t="shared" si="166"/>
        <v>0.66896551724137931</v>
      </c>
      <c r="AX99" s="179">
        <f t="shared" si="142"/>
        <v>2.6122105263157893</v>
      </c>
      <c r="AY99" s="179">
        <f t="shared" si="143"/>
        <v>0.1077200217037439</v>
      </c>
      <c r="AZ99" s="179">
        <f t="shared" si="167"/>
        <v>24.25</v>
      </c>
      <c r="BA99" s="472">
        <f t="shared" si="144"/>
        <v>1.0981940887441972</v>
      </c>
      <c r="BB99" s="6">
        <f t="shared" si="145"/>
        <v>0.45763052640018642</v>
      </c>
      <c r="BC99" s="6"/>
      <c r="BD99" s="179">
        <f t="shared" si="168"/>
        <v>0.3073225523667763</v>
      </c>
      <c r="BE99" s="179">
        <f t="shared" si="146"/>
        <v>0.21618680489586517</v>
      </c>
      <c r="BF99" s="179"/>
      <c r="BG99" s="546">
        <f t="shared" si="147"/>
        <v>3.3056502917630487E-2</v>
      </c>
      <c r="BH99" s="546">
        <f t="shared" si="148"/>
        <v>4.6436170212765956E-2</v>
      </c>
      <c r="BI99" s="546">
        <f t="shared" si="149"/>
        <v>3.2805294463902177E-3</v>
      </c>
      <c r="BJ99" s="546">
        <f t="shared" si="150"/>
        <v>1.7243282902588582E-2</v>
      </c>
      <c r="BK99">
        <f t="shared" si="151"/>
        <v>3.48E-3</v>
      </c>
      <c r="BL99" s="546">
        <f t="shared" si="152"/>
        <v>0.10469567796840958</v>
      </c>
      <c r="BM99" s="472">
        <f t="shared" si="169"/>
        <v>104.69567796840957</v>
      </c>
      <c r="BN99" s="546">
        <f t="shared" si="153"/>
        <v>3.1019999999999995E-2</v>
      </c>
      <c r="BO99" s="546"/>
      <c r="BQ99" s="472">
        <f t="shared" si="170"/>
        <v>31.019999999999996</v>
      </c>
      <c r="BR99" s="546">
        <f t="shared" si="154"/>
        <v>1.8889430238645994E-2</v>
      </c>
      <c r="BS99" s="546">
        <f t="shared" si="155"/>
        <v>9.3473469222165751E-3</v>
      </c>
      <c r="BT99" s="546">
        <f t="shared" si="156"/>
        <v>1.9062848865117589E-2</v>
      </c>
      <c r="BU99" s="546">
        <f t="shared" si="157"/>
        <v>4.740671505389258E-2</v>
      </c>
      <c r="BV99" s="546">
        <f t="shared" si="158"/>
        <v>2.0564210526315792E-2</v>
      </c>
      <c r="BW99" s="472">
        <f t="shared" si="171"/>
        <v>67.970925580208373</v>
      </c>
      <c r="BX99" s="179">
        <f t="shared" si="172"/>
        <v>0.20368660354861795</v>
      </c>
      <c r="BY99" s="6">
        <f t="shared" si="173"/>
        <v>2.4815999999999998</v>
      </c>
      <c r="BZ99" s="179">
        <f t="shared" si="174"/>
        <v>0.92414716429916821</v>
      </c>
      <c r="CA99" s="6">
        <f t="shared" si="175"/>
        <v>92.414716429916822</v>
      </c>
      <c r="CD99" s="581">
        <f t="shared" si="159"/>
        <v>-50</v>
      </c>
      <c r="CE99">
        <f t="shared" si="160"/>
        <v>-50</v>
      </c>
    </row>
    <row r="100" spans="5:83" x14ac:dyDescent="0.2">
      <c r="E100" s="176">
        <v>95</v>
      </c>
      <c r="F100" s="223">
        <f t="shared" si="161"/>
        <v>0.1045</v>
      </c>
      <c r="G100" s="223"/>
      <c r="H100" s="223">
        <f t="shared" si="113"/>
        <v>2.508</v>
      </c>
      <c r="I100" s="559">
        <f t="shared" si="114"/>
        <v>12</v>
      </c>
      <c r="J100" s="178">
        <f t="shared" si="115"/>
        <v>24.25</v>
      </c>
      <c r="K100" s="454">
        <f t="shared" si="116"/>
        <v>36.25</v>
      </c>
      <c r="L100" s="454"/>
      <c r="M100" s="223">
        <f t="shared" si="117"/>
        <v>0.66896551724137931</v>
      </c>
      <c r="N100" s="178">
        <f t="shared" si="118"/>
        <v>5.528999999999999</v>
      </c>
      <c r="O100" s="178">
        <f t="shared" si="162"/>
        <v>2.508</v>
      </c>
      <c r="P100" s="223">
        <f t="shared" si="119"/>
        <v>0.23037499999999997</v>
      </c>
      <c r="Q100" s="223">
        <f t="shared" si="120"/>
        <v>24</v>
      </c>
      <c r="R100" s="223">
        <f t="shared" si="121"/>
        <v>0.24250000000000002</v>
      </c>
      <c r="S100" s="178">
        <f t="shared" si="122"/>
        <v>67.135429101243844</v>
      </c>
      <c r="T100" s="550">
        <f t="shared" si="123"/>
        <v>24</v>
      </c>
      <c r="U100" s="550">
        <f t="shared" si="124"/>
        <v>0.6577319587628867</v>
      </c>
      <c r="V100" s="223">
        <f t="shared" si="125"/>
        <v>2.5761168384879727</v>
      </c>
      <c r="W100" s="223">
        <f t="shared" si="126"/>
        <v>1.274779466468275</v>
      </c>
      <c r="X100" s="203">
        <f t="shared" si="127"/>
        <v>350</v>
      </c>
      <c r="Y100" s="454">
        <f t="shared" si="163"/>
        <v>259.6798045984678</v>
      </c>
      <c r="AA100" s="223">
        <f t="shared" si="128"/>
        <v>0.48799916151346817</v>
      </c>
      <c r="AB100" s="179">
        <f t="shared" si="129"/>
        <v>0.94581280788177335</v>
      </c>
      <c r="AC100" s="179">
        <f t="shared" si="130"/>
        <v>8.077227500912576E-2</v>
      </c>
      <c r="AD100" s="179"/>
      <c r="AE100" s="179">
        <f t="shared" si="131"/>
        <v>0.56206185567010303</v>
      </c>
      <c r="AF100" s="563">
        <f t="shared" si="176"/>
        <v>1282.2248083588433</v>
      </c>
      <c r="AG100" s="546">
        <f t="shared" si="132"/>
        <v>2.8524639175257726E-2</v>
      </c>
      <c r="AI100" s="179">
        <f t="shared" si="133"/>
        <v>0.56948758495905105</v>
      </c>
      <c r="AJ100" s="179">
        <f t="shared" si="134"/>
        <v>0.6577319587628867</v>
      </c>
      <c r="AK100" s="179">
        <f t="shared" si="135"/>
        <v>1.4723940435280642</v>
      </c>
      <c r="AM100" s="563">
        <f t="shared" si="136"/>
        <v>104.5</v>
      </c>
      <c r="AN100" s="472">
        <f t="shared" si="137"/>
        <v>259.6798045984678</v>
      </c>
      <c r="AP100">
        <f t="shared" si="138"/>
        <v>104.5</v>
      </c>
      <c r="AQ100">
        <f t="shared" si="139"/>
        <v>259.6798045984678</v>
      </c>
      <c r="AS100" s="6">
        <f t="shared" si="164"/>
        <v>3.8508963049562475</v>
      </c>
      <c r="AT100" s="6">
        <f t="shared" si="140"/>
        <v>2.5761168384879727</v>
      </c>
      <c r="AU100" s="6">
        <f t="shared" si="165"/>
        <v>1.2747794664682748</v>
      </c>
      <c r="AV100" s="6">
        <f t="shared" si="141"/>
        <v>1.274779466468275</v>
      </c>
      <c r="AW100" s="179">
        <f t="shared" si="166"/>
        <v>0.66896551724137943</v>
      </c>
      <c r="AX100" s="179">
        <f t="shared" si="142"/>
        <v>2.640000000000001</v>
      </c>
      <c r="AY100" s="179">
        <f t="shared" si="143"/>
        <v>0.10886597938144328</v>
      </c>
      <c r="AZ100" s="179">
        <f t="shared" si="167"/>
        <v>24.250000000000014</v>
      </c>
      <c r="BA100" s="472">
        <f t="shared" si="144"/>
        <v>1.1216842067583048</v>
      </c>
      <c r="BB100" s="6">
        <f t="shared" si="145"/>
        <v>0.46741913770503402</v>
      </c>
      <c r="BC100" s="6"/>
      <c r="BD100" s="179">
        <f t="shared" si="168"/>
        <v>0.31059194122174205</v>
      </c>
      <c r="BE100" s="179">
        <f t="shared" si="146"/>
        <v>0.21848666452241691</v>
      </c>
      <c r="BF100" s="179"/>
      <c r="BG100" s="546">
        <f t="shared" si="147"/>
        <v>3.3763573883161521E-2</v>
      </c>
      <c r="BH100" s="546">
        <f t="shared" si="148"/>
        <v>4.6436170212765963E-2</v>
      </c>
      <c r="BI100" s="546">
        <f t="shared" si="149"/>
        <v>3.2459975574808475E-3</v>
      </c>
      <c r="BJ100" s="546">
        <f t="shared" si="150"/>
        <v>1.7061774661508704E-2</v>
      </c>
      <c r="BK100">
        <f t="shared" si="151"/>
        <v>3.48E-3</v>
      </c>
      <c r="BL100" s="546">
        <f t="shared" si="152"/>
        <v>0.10521847550375728</v>
      </c>
      <c r="BM100" s="472">
        <f t="shared" si="169"/>
        <v>105.21847550375728</v>
      </c>
      <c r="BN100" s="546">
        <f t="shared" si="153"/>
        <v>3.1349999999999996E-2</v>
      </c>
      <c r="BO100" s="546"/>
      <c r="BQ100" s="472">
        <f t="shared" si="170"/>
        <v>31.349999999999994</v>
      </c>
      <c r="BR100" s="546">
        <f t="shared" si="154"/>
        <v>1.9293470790378017E-2</v>
      </c>
      <c r="BS100" s="546">
        <f t="shared" si="155"/>
        <v>9.5472845148262316E-3</v>
      </c>
      <c r="BT100" s="546">
        <f t="shared" si="156"/>
        <v>1.9062848865117613E-2</v>
      </c>
      <c r="BU100" s="546">
        <f t="shared" si="157"/>
        <v>4.8014385862625346E-2</v>
      </c>
      <c r="BV100" s="546">
        <f t="shared" si="158"/>
        <v>2.0782978723404264E-2</v>
      </c>
      <c r="BW100" s="472">
        <f t="shared" si="171"/>
        <v>68.797364586029616</v>
      </c>
      <c r="BX100" s="179">
        <f t="shared" si="172"/>
        <v>0.20536584008978689</v>
      </c>
      <c r="BY100" s="6">
        <f t="shared" si="173"/>
        <v>2.508</v>
      </c>
      <c r="BZ100" s="179">
        <f t="shared" si="174"/>
        <v>0.92431325070304882</v>
      </c>
      <c r="CA100" s="6">
        <f t="shared" si="175"/>
        <v>92.431325070304879</v>
      </c>
      <c r="CD100" s="581">
        <f t="shared" si="159"/>
        <v>-50</v>
      </c>
      <c r="CE100">
        <f t="shared" si="160"/>
        <v>-50</v>
      </c>
    </row>
    <row r="101" spans="5:83" x14ac:dyDescent="0.2">
      <c r="E101" s="176">
        <v>96</v>
      </c>
      <c r="F101" s="223">
        <f t="shared" si="161"/>
        <v>0.1056</v>
      </c>
      <c r="G101" s="223"/>
      <c r="H101" s="223">
        <f t="shared" ref="H101:H105" si="177">F101*Vout</f>
        <v>2.5343999999999998</v>
      </c>
      <c r="I101" s="559">
        <f t="shared" si="114"/>
        <v>12</v>
      </c>
      <c r="J101" s="178">
        <f t="shared" si="115"/>
        <v>24.25</v>
      </c>
      <c r="K101" s="454">
        <f t="shared" si="116"/>
        <v>36.25</v>
      </c>
      <c r="L101" s="454"/>
      <c r="M101" s="223">
        <f t="shared" si="117"/>
        <v>0.66896551724137931</v>
      </c>
      <c r="N101" s="178">
        <f t="shared" si="118"/>
        <v>5.528999999999999</v>
      </c>
      <c r="O101" s="178">
        <f t="shared" si="162"/>
        <v>2.5343999999999998</v>
      </c>
      <c r="P101" s="223">
        <f t="shared" ref="P101:P105" si="178">N101/Vout</f>
        <v>0.23037499999999997</v>
      </c>
      <c r="Q101" s="223">
        <f t="shared" si="120"/>
        <v>24</v>
      </c>
      <c r="R101" s="223">
        <f t="shared" ref="R101:R105" si="179">Isw_max/2*I101*Nps*(Q101+Vfwd1)/Q101/(I101+Nps*(Q101+Vfwd1))</f>
        <v>0.24250000000000002</v>
      </c>
      <c r="S101" s="178">
        <f t="shared" si="122"/>
        <v>66.312116137001297</v>
      </c>
      <c r="T101" s="550">
        <f t="shared" ref="T101:T105" si="180">MIN(Vout, S101)</f>
        <v>24</v>
      </c>
      <c r="U101" s="550">
        <f t="shared" si="124"/>
        <v>0.66465545306565388</v>
      </c>
      <c r="V101" s="223">
        <f t="shared" ref="V101:V105" si="181">L*U101/I101*1000000</f>
        <v>2.6032338578404777</v>
      </c>
      <c r="W101" s="223">
        <f t="shared" si="126"/>
        <v>1.2881981976942569</v>
      </c>
      <c r="X101" s="203">
        <f t="shared" si="127"/>
        <v>350</v>
      </c>
      <c r="Y101" s="454">
        <f t="shared" si="163"/>
        <v>256.97480663390036</v>
      </c>
      <c r="AA101" s="223">
        <f t="shared" si="128"/>
        <v>0.48799916151346817</v>
      </c>
      <c r="AB101" s="179">
        <f t="shared" ref="AB101:AB105" si="182">L*AA101/J101*1000000</f>
        <v>0.94581280788177335</v>
      </c>
      <c r="AC101" s="179">
        <f t="shared" ref="AC101:AC105" si="183">0.5*AB101*AA101*Nps*X101/1000</f>
        <v>8.077227500912576E-2</v>
      </c>
      <c r="AD101" s="179"/>
      <c r="AE101" s="179">
        <f t="shared" si="131"/>
        <v>0.56206185567010303</v>
      </c>
      <c r="AF101" s="563">
        <f t="shared" si="176"/>
        <v>1295.7219116047263</v>
      </c>
      <c r="AG101" s="546">
        <f t="shared" si="132"/>
        <v>2.8524639175257726E-2</v>
      </c>
      <c r="AI101" s="179">
        <f t="shared" si="133"/>
        <v>0.5724770416408741</v>
      </c>
      <c r="AJ101" s="179">
        <f t="shared" ref="AJ101:AJ105" si="184">MAX(IF(F101&gt;AC101,U101,AI101),Isw_min)</f>
        <v>0.66465545306565388</v>
      </c>
      <c r="AK101" s="179">
        <f t="shared" ref="AK101:AK105" si="185">IF(F101&gt;AG101, (AJ101-Isw_min)/1.08*0.8+1.2, AF101*0.2/350+1)</f>
        <v>1.4775225578264102</v>
      </c>
      <c r="AM101" s="563">
        <f t="shared" si="136"/>
        <v>105.6</v>
      </c>
      <c r="AN101" s="472">
        <f t="shared" si="137"/>
        <v>256.97480663390036</v>
      </c>
      <c r="AP101">
        <f t="shared" si="138"/>
        <v>105.6</v>
      </c>
      <c r="AQ101">
        <f t="shared" si="139"/>
        <v>256.97480663390036</v>
      </c>
      <c r="AS101" s="6">
        <f t="shared" si="164"/>
        <v>3.8914320555347355</v>
      </c>
      <c r="AT101" s="6">
        <f t="shared" si="140"/>
        <v>2.6032338578404777</v>
      </c>
      <c r="AU101" s="6">
        <f t="shared" si="165"/>
        <v>1.2881981976942578</v>
      </c>
      <c r="AV101" s="6">
        <f t="shared" si="141"/>
        <v>1.2881981976942569</v>
      </c>
      <c r="AW101" s="179">
        <f t="shared" si="166"/>
        <v>0.6689655172413792</v>
      </c>
      <c r="AX101" s="179">
        <f t="shared" si="142"/>
        <v>2.66778947368421</v>
      </c>
      <c r="AY101" s="179">
        <f t="shared" si="143"/>
        <v>0.11001193705914275</v>
      </c>
      <c r="AZ101" s="179">
        <f t="shared" si="167"/>
        <v>24.249999999999986</v>
      </c>
      <c r="BA101" s="472">
        <f t="shared" si="144"/>
        <v>1.1454228974498102</v>
      </c>
      <c r="BB101" s="6">
        <f t="shared" si="145"/>
        <v>0.4773113321982933</v>
      </c>
      <c r="BC101" s="6"/>
      <c r="BD101" s="179">
        <f t="shared" si="168"/>
        <v>0.31386133007670769</v>
      </c>
      <c r="BE101" s="179">
        <f t="shared" si="146"/>
        <v>0.22078652414896874</v>
      </c>
      <c r="BF101" s="179"/>
      <c r="BG101" s="546">
        <f t="shared" si="147"/>
        <v>3.4478127081132022E-2</v>
      </c>
      <c r="BH101" s="546">
        <f t="shared" si="148"/>
        <v>4.6436170212765943E-2</v>
      </c>
      <c r="BI101" s="546">
        <f t="shared" si="149"/>
        <v>3.2121850829237544E-3</v>
      </c>
      <c r="BJ101" s="546">
        <f t="shared" si="150"/>
        <v>1.6884047842117986E-2</v>
      </c>
      <c r="BK101">
        <f t="shared" si="151"/>
        <v>3.48E-3</v>
      </c>
      <c r="BL101" s="546">
        <f t="shared" ref="BL101:BL105" si="186">(BH101+BI101+BJ101+BK101+BG101*(1+RdsonTC*(Ta-25)))/(1-BG101*RdsonTC*ThetaJA)</f>
        <v>0.10575393772343064</v>
      </c>
      <c r="BM101" s="472">
        <f t="shared" si="169"/>
        <v>105.75393772343064</v>
      </c>
      <c r="BN101" s="546">
        <f t="shared" si="153"/>
        <v>3.168E-2</v>
      </c>
      <c r="BO101" s="546"/>
      <c r="BQ101" s="472">
        <f t="shared" si="170"/>
        <v>31.68</v>
      </c>
      <c r="BR101" s="546">
        <f t="shared" si="154"/>
        <v>1.9701786903504014E-2</v>
      </c>
      <c r="BS101" s="546">
        <f t="shared" si="155"/>
        <v>9.7493378491566307E-3</v>
      </c>
      <c r="BT101" s="546">
        <f t="shared" si="156"/>
        <v>1.9062848865117586E-2</v>
      </c>
      <c r="BU101" s="546">
        <f t="shared" ref="BU101:BU105" si="187">(BT101+(BR101+BS101)*(1+Ltc*(Ta-25)))/(1-(BR101+BS101)*Ltc*ThetaCa)</f>
        <v>4.8628546849763275E-2</v>
      </c>
      <c r="BV101" s="546">
        <f t="shared" si="158"/>
        <v>2.1001746920492718E-2</v>
      </c>
      <c r="BW101" s="472">
        <f t="shared" si="171"/>
        <v>69.630293770255989</v>
      </c>
      <c r="BX101" s="179">
        <f t="shared" si="172"/>
        <v>0.20706423149368666</v>
      </c>
      <c r="BY101" s="6">
        <f t="shared" si="173"/>
        <v>2.5343999999999998</v>
      </c>
      <c r="BZ101" s="179">
        <f t="shared" si="174"/>
        <v>0.92446947543033675</v>
      </c>
      <c r="CA101" s="6">
        <f t="shared" si="175"/>
        <v>92.446947543033673</v>
      </c>
      <c r="CD101" s="581">
        <f t="shared" si="159"/>
        <v>-50</v>
      </c>
      <c r="CE101">
        <f t="shared" si="160"/>
        <v>-50</v>
      </c>
    </row>
    <row r="102" spans="5:83" x14ac:dyDescent="0.2">
      <c r="E102" s="176">
        <v>97</v>
      </c>
      <c r="F102" s="223">
        <f t="shared" ref="F102:F105" si="188">IF(PLOT_TYPE=1, E102/100*Iout_max, min_I*EXP(N102*rr/100))</f>
        <v>0.1067</v>
      </c>
      <c r="G102" s="223"/>
      <c r="H102" s="223">
        <f t="shared" si="177"/>
        <v>2.5608</v>
      </c>
      <c r="I102" s="559">
        <f t="shared" si="114"/>
        <v>12</v>
      </c>
      <c r="J102" s="178">
        <f t="shared" si="115"/>
        <v>24.25</v>
      </c>
      <c r="K102" s="454">
        <f t="shared" si="116"/>
        <v>36.25</v>
      </c>
      <c r="L102" s="454"/>
      <c r="M102" s="223">
        <f t="shared" si="117"/>
        <v>0.66896551724137931</v>
      </c>
      <c r="N102" s="178">
        <f t="shared" si="118"/>
        <v>5.528999999999999</v>
      </c>
      <c r="O102" s="178">
        <f t="shared" si="162"/>
        <v>2.5608</v>
      </c>
      <c r="P102" s="223">
        <f t="shared" si="178"/>
        <v>0.23037499999999997</v>
      </c>
      <c r="Q102" s="223">
        <f t="shared" si="120"/>
        <v>24</v>
      </c>
      <c r="R102" s="223">
        <f t="shared" si="179"/>
        <v>0.24250000000000002</v>
      </c>
      <c r="S102" s="178">
        <f t="shared" si="122"/>
        <v>65.505792054651238</v>
      </c>
      <c r="T102" s="550">
        <f t="shared" si="180"/>
        <v>24</v>
      </c>
      <c r="U102" s="550">
        <f t="shared" si="124"/>
        <v>0.67157894736842116</v>
      </c>
      <c r="V102" s="223">
        <f t="shared" si="181"/>
        <v>2.6303508771929827</v>
      </c>
      <c r="W102" s="223">
        <f t="shared" si="126"/>
        <v>1.3016169289202388</v>
      </c>
      <c r="X102" s="203">
        <f t="shared" si="127"/>
        <v>350</v>
      </c>
      <c r="Y102" s="454">
        <f t="shared" si="163"/>
        <v>254.32558182324161</v>
      </c>
      <c r="AA102" s="223">
        <f t="shared" si="128"/>
        <v>0.48799916151346817</v>
      </c>
      <c r="AB102" s="179">
        <f t="shared" si="182"/>
        <v>0.94581280788177335</v>
      </c>
      <c r="AC102" s="179">
        <f t="shared" si="183"/>
        <v>8.077227500912576E-2</v>
      </c>
      <c r="AD102" s="179"/>
      <c r="AE102" s="179">
        <f t="shared" si="131"/>
        <v>0.56206185567010303</v>
      </c>
      <c r="AF102" s="563">
        <f t="shared" si="176"/>
        <v>1309.2190148506088</v>
      </c>
      <c r="AG102" s="546">
        <f t="shared" si="132"/>
        <v>2.8524639175257726E-2</v>
      </c>
      <c r="AI102" s="179">
        <f t="shared" si="133"/>
        <v>0.57545096836245024</v>
      </c>
      <c r="AJ102" s="179">
        <f t="shared" si="184"/>
        <v>0.67157894736842116</v>
      </c>
      <c r="AK102" s="179">
        <f t="shared" si="185"/>
        <v>1.4826510721247563</v>
      </c>
      <c r="AM102" s="563">
        <f t="shared" si="136"/>
        <v>106.7</v>
      </c>
      <c r="AN102" s="472">
        <f t="shared" si="137"/>
        <v>254.32558182324161</v>
      </c>
      <c r="AP102">
        <f t="shared" si="138"/>
        <v>106.7</v>
      </c>
      <c r="AQ102">
        <f t="shared" si="139"/>
        <v>254.32558182324161</v>
      </c>
      <c r="AS102" s="6">
        <f t="shared" si="164"/>
        <v>3.9319678061132217</v>
      </c>
      <c r="AT102" s="6">
        <f t="shared" si="140"/>
        <v>2.6303508771929827</v>
      </c>
      <c r="AU102" s="6">
        <f t="shared" si="165"/>
        <v>1.3016169289202391</v>
      </c>
      <c r="AV102" s="6">
        <f t="shared" si="141"/>
        <v>1.3016169289202388</v>
      </c>
      <c r="AW102" s="179">
        <f t="shared" si="166"/>
        <v>0.66896551724137931</v>
      </c>
      <c r="AX102" s="179">
        <f t="shared" si="142"/>
        <v>2.6955789473684213</v>
      </c>
      <c r="AY102" s="179">
        <f t="shared" si="143"/>
        <v>0.11115789473684212</v>
      </c>
      <c r="AZ102" s="179">
        <f t="shared" si="167"/>
        <v>24.25</v>
      </c>
      <c r="BA102" s="472">
        <f t="shared" si="144"/>
        <v>1.1694101608187137</v>
      </c>
      <c r="BB102" s="6">
        <f t="shared" si="145"/>
        <v>0.48730710987996317</v>
      </c>
      <c r="BC102" s="6"/>
      <c r="BD102" s="179">
        <f t="shared" si="168"/>
        <v>0.31713071893167344</v>
      </c>
      <c r="BE102" s="179">
        <f t="shared" si="146"/>
        <v>0.22308638377552048</v>
      </c>
      <c r="BF102" s="179"/>
      <c r="BG102" s="546">
        <f t="shared" si="147"/>
        <v>3.5200162511542017E-2</v>
      </c>
      <c r="BH102" s="546">
        <f t="shared" si="148"/>
        <v>4.643617021276595E-2</v>
      </c>
      <c r="BI102" s="546">
        <f t="shared" si="149"/>
        <v>3.17906977279052E-3</v>
      </c>
      <c r="BJ102" s="546">
        <f t="shared" si="150"/>
        <v>1.6709985493230172E-2</v>
      </c>
      <c r="BK102">
        <f t="shared" si="151"/>
        <v>3.48E-3</v>
      </c>
      <c r="BL102" s="546">
        <f t="shared" si="186"/>
        <v>0.10630193744686924</v>
      </c>
      <c r="BM102" s="472">
        <f t="shared" si="169"/>
        <v>106.30193744686923</v>
      </c>
      <c r="BN102" s="546">
        <f t="shared" si="153"/>
        <v>3.2009999999999997E-2</v>
      </c>
      <c r="BO102" s="546"/>
      <c r="BQ102" s="472">
        <f t="shared" si="170"/>
        <v>32.01</v>
      </c>
      <c r="BR102" s="546">
        <f t="shared" si="154"/>
        <v>2.0114378578024013E-2</v>
      </c>
      <c r="BS102" s="546">
        <f t="shared" si="155"/>
        <v>9.953506925207762E-3</v>
      </c>
      <c r="BT102" s="546">
        <f t="shared" si="156"/>
        <v>1.9062848865117586E-2</v>
      </c>
      <c r="BU102" s="546">
        <f t="shared" si="187"/>
        <v>4.9249199912677372E-2</v>
      </c>
      <c r="BV102" s="546">
        <f t="shared" si="158"/>
        <v>2.1220515117581194E-2</v>
      </c>
      <c r="BW102" s="472">
        <f t="shared" si="171"/>
        <v>70.469715030258556</v>
      </c>
      <c r="BX102" s="179">
        <f t="shared" si="172"/>
        <v>0.20878165247712779</v>
      </c>
      <c r="BY102" s="6">
        <f t="shared" si="173"/>
        <v>2.5608</v>
      </c>
      <c r="BZ102" s="179">
        <f t="shared" si="174"/>
        <v>0.92461617721564826</v>
      </c>
      <c r="CA102" s="6">
        <f t="shared" si="175"/>
        <v>92.461617721564821</v>
      </c>
      <c r="CD102" s="581">
        <f t="shared" si="159"/>
        <v>-50</v>
      </c>
      <c r="CE102">
        <f t="shared" si="160"/>
        <v>-50</v>
      </c>
    </row>
    <row r="103" spans="5:83" x14ac:dyDescent="0.2">
      <c r="E103" s="176">
        <v>98</v>
      </c>
      <c r="F103" s="223">
        <f t="shared" si="188"/>
        <v>0.10779999999999999</v>
      </c>
      <c r="G103" s="223"/>
      <c r="H103" s="223">
        <f t="shared" si="177"/>
        <v>2.5871999999999997</v>
      </c>
      <c r="I103" s="559">
        <f t="shared" si="114"/>
        <v>12</v>
      </c>
      <c r="J103" s="178">
        <f t="shared" si="115"/>
        <v>24.25</v>
      </c>
      <c r="K103" s="454">
        <f t="shared" si="116"/>
        <v>36.25</v>
      </c>
      <c r="L103" s="454"/>
      <c r="M103" s="223">
        <f t="shared" si="117"/>
        <v>0.66896551724137931</v>
      </c>
      <c r="N103" s="178">
        <f t="shared" si="118"/>
        <v>5.528999999999999</v>
      </c>
      <c r="O103" s="178">
        <f t="shared" si="162"/>
        <v>2.5871999999999997</v>
      </c>
      <c r="P103" s="223">
        <f t="shared" si="178"/>
        <v>0.23037499999999997</v>
      </c>
      <c r="Q103" s="223">
        <f t="shared" si="120"/>
        <v>24</v>
      </c>
      <c r="R103" s="223">
        <f t="shared" si="179"/>
        <v>0.24250000000000002</v>
      </c>
      <c r="S103" s="178">
        <f t="shared" si="122"/>
        <v>64.715936858297709</v>
      </c>
      <c r="T103" s="550">
        <f t="shared" si="180"/>
        <v>24</v>
      </c>
      <c r="U103" s="550">
        <f t="shared" si="124"/>
        <v>0.67850244167118823</v>
      </c>
      <c r="V103" s="223">
        <f t="shared" si="181"/>
        <v>2.6574678965454872</v>
      </c>
      <c r="W103" s="223">
        <f t="shared" si="126"/>
        <v>1.3150356601462205</v>
      </c>
      <c r="X103" s="203">
        <f t="shared" si="127"/>
        <v>350</v>
      </c>
      <c r="Y103" s="454">
        <f t="shared" si="163"/>
        <v>251.73042282504531</v>
      </c>
      <c r="AA103" s="223">
        <f t="shared" si="128"/>
        <v>0.48799916151346817</v>
      </c>
      <c r="AB103" s="179">
        <f t="shared" si="182"/>
        <v>0.94581280788177335</v>
      </c>
      <c r="AC103" s="179">
        <f t="shared" si="183"/>
        <v>8.077227500912576E-2</v>
      </c>
      <c r="AD103" s="179"/>
      <c r="AE103" s="179">
        <f t="shared" si="131"/>
        <v>0.56206185567010303</v>
      </c>
      <c r="AF103" s="563">
        <f t="shared" si="176"/>
        <v>1322.7161180964911</v>
      </c>
      <c r="AG103" s="546">
        <f t="shared" si="132"/>
        <v>2.8524639175257726E-2</v>
      </c>
      <c r="AI103" s="179">
        <f t="shared" si="133"/>
        <v>0.57840960466841873</v>
      </c>
      <c r="AJ103" s="179">
        <f t="shared" si="184"/>
        <v>0.67850244167118823</v>
      </c>
      <c r="AK103" s="179">
        <f t="shared" si="185"/>
        <v>1.4877795864231023</v>
      </c>
      <c r="AM103" s="563">
        <f t="shared" si="136"/>
        <v>107.8</v>
      </c>
      <c r="AN103" s="472">
        <f t="shared" si="137"/>
        <v>251.73042282504531</v>
      </c>
      <c r="AP103">
        <f t="shared" si="138"/>
        <v>107.8</v>
      </c>
      <c r="AQ103">
        <f t="shared" si="139"/>
        <v>251.73042282504531</v>
      </c>
      <c r="AS103" s="6">
        <f t="shared" si="164"/>
        <v>3.972503556691708</v>
      </c>
      <c r="AT103" s="6">
        <f t="shared" si="140"/>
        <v>2.6574678965454872</v>
      </c>
      <c r="AU103" s="6">
        <f t="shared" si="165"/>
        <v>1.3150356601462208</v>
      </c>
      <c r="AV103" s="6">
        <f t="shared" si="141"/>
        <v>1.3150356601462205</v>
      </c>
      <c r="AW103" s="179">
        <f t="shared" si="166"/>
        <v>0.66896551724137931</v>
      </c>
      <c r="AX103" s="179">
        <f t="shared" si="142"/>
        <v>2.7233684210526312</v>
      </c>
      <c r="AY103" s="179">
        <f t="shared" si="143"/>
        <v>0.11230385241454149</v>
      </c>
      <c r="AZ103" s="179">
        <f t="shared" si="167"/>
        <v>24.25</v>
      </c>
      <c r="BA103" s="472">
        <f t="shared" si="144"/>
        <v>1.1936459968650144</v>
      </c>
      <c r="BB103" s="6">
        <f t="shared" si="145"/>
        <v>0.49740647075004402</v>
      </c>
      <c r="BC103" s="6"/>
      <c r="BD103" s="179">
        <f t="shared" si="168"/>
        <v>0.32040010778663908</v>
      </c>
      <c r="BE103" s="179">
        <f t="shared" si="146"/>
        <v>0.22538624340207217</v>
      </c>
      <c r="BF103" s="179"/>
      <c r="BG103" s="546">
        <f t="shared" si="147"/>
        <v>3.5929680174391472E-2</v>
      </c>
      <c r="BH103" s="546">
        <f t="shared" si="148"/>
        <v>4.643617021276595E-2</v>
      </c>
      <c r="BI103" s="546">
        <f t="shared" si="149"/>
        <v>3.1466302853130662E-3</v>
      </c>
      <c r="BJ103" s="546">
        <f t="shared" si="150"/>
        <v>1.6539475437176807E-2</v>
      </c>
      <c r="BK103">
        <f t="shared" si="151"/>
        <v>3.48E-3</v>
      </c>
      <c r="BL103" s="546">
        <f t="shared" si="186"/>
        <v>0.10686235331609215</v>
      </c>
      <c r="BM103" s="472">
        <f t="shared" si="169"/>
        <v>106.86235331609214</v>
      </c>
      <c r="BN103" s="546">
        <f t="shared" si="153"/>
        <v>3.2339999999999994E-2</v>
      </c>
      <c r="BO103" s="546"/>
      <c r="BQ103" s="472">
        <f t="shared" si="170"/>
        <v>32.339999999999996</v>
      </c>
      <c r="BR103" s="546">
        <f t="shared" si="154"/>
        <v>2.053124581393799E-2</v>
      </c>
      <c r="BS103" s="546">
        <f t="shared" si="155"/>
        <v>1.0159791742979624E-2</v>
      </c>
      <c r="BT103" s="546">
        <f t="shared" si="156"/>
        <v>1.9062848865117568E-2</v>
      </c>
      <c r="BU103" s="546">
        <f t="shared" si="187"/>
        <v>4.987634696907757E-2</v>
      </c>
      <c r="BV103" s="546">
        <f t="shared" si="158"/>
        <v>2.1439283314669651E-2</v>
      </c>
      <c r="BW103" s="472">
        <f t="shared" si="171"/>
        <v>71.315630283747225</v>
      </c>
      <c r="BX103" s="179">
        <f t="shared" si="172"/>
        <v>0.21051798359983936</v>
      </c>
      <c r="BY103" s="6">
        <f t="shared" si="173"/>
        <v>2.5871999999999997</v>
      </c>
      <c r="BZ103" s="179">
        <f t="shared" si="174"/>
        <v>0.92475367966539479</v>
      </c>
      <c r="CA103" s="6">
        <f t="shared" si="175"/>
        <v>92.47536796653948</v>
      </c>
      <c r="CD103" s="581">
        <f t="shared" si="159"/>
        <v>-50</v>
      </c>
      <c r="CE103">
        <f t="shared" si="160"/>
        <v>-50</v>
      </c>
    </row>
    <row r="104" spans="5:83" x14ac:dyDescent="0.2">
      <c r="E104" s="176">
        <v>99</v>
      </c>
      <c r="F104" s="223">
        <f t="shared" si="188"/>
        <v>0.1089</v>
      </c>
      <c r="G104" s="223"/>
      <c r="H104" s="223">
        <f t="shared" si="177"/>
        <v>2.6135999999999999</v>
      </c>
      <c r="I104" s="559">
        <f t="shared" si="114"/>
        <v>12</v>
      </c>
      <c r="J104" s="178">
        <f t="shared" si="115"/>
        <v>24.25</v>
      </c>
      <c r="K104" s="454">
        <f t="shared" si="116"/>
        <v>36.25</v>
      </c>
      <c r="L104" s="454"/>
      <c r="M104" s="223">
        <f t="shared" si="117"/>
        <v>0.66896551724137931</v>
      </c>
      <c r="N104" s="178">
        <f t="shared" si="118"/>
        <v>5.528999999999999</v>
      </c>
      <c r="O104" s="178">
        <f t="shared" si="162"/>
        <v>2.6135999999999999</v>
      </c>
      <c r="P104" s="223">
        <f t="shared" si="178"/>
        <v>0.23037499999999997</v>
      </c>
      <c r="Q104" s="223">
        <f t="shared" si="120"/>
        <v>24</v>
      </c>
      <c r="R104" s="223">
        <f t="shared" si="179"/>
        <v>0.24250000000000002</v>
      </c>
      <c r="S104" s="178">
        <f t="shared" si="122"/>
        <v>63.942051562480991</v>
      </c>
      <c r="T104" s="550">
        <f t="shared" si="180"/>
        <v>24</v>
      </c>
      <c r="U104" s="550">
        <f t="shared" si="124"/>
        <v>0.68542593597395551</v>
      </c>
      <c r="V104" s="223">
        <f t="shared" si="181"/>
        <v>2.6845849158979922</v>
      </c>
      <c r="W104" s="223">
        <f t="shared" si="126"/>
        <v>1.3284543913722022</v>
      </c>
      <c r="X104" s="203">
        <f t="shared" si="127"/>
        <v>350</v>
      </c>
      <c r="Y104" s="454">
        <f t="shared" si="163"/>
        <v>249.18769128135801</v>
      </c>
      <c r="AA104" s="223">
        <f t="shared" si="128"/>
        <v>0.48799916151346817</v>
      </c>
      <c r="AB104" s="179">
        <f t="shared" si="182"/>
        <v>0.94581280788177335</v>
      </c>
      <c r="AC104" s="179">
        <f t="shared" si="183"/>
        <v>8.077227500912576E-2</v>
      </c>
      <c r="AD104" s="179"/>
      <c r="AE104" s="179">
        <f t="shared" si="131"/>
        <v>0.56206185567010303</v>
      </c>
      <c r="AF104" s="563">
        <f t="shared" ref="AF104:AF105" si="189">MAX(10000,F104/(0.5*AE104/1000000*Isw_min*Nps))/1000</f>
        <v>1336.2132213423738</v>
      </c>
      <c r="AG104" s="546">
        <f t="shared" si="132"/>
        <v>2.8524639175257726E-2</v>
      </c>
      <c r="AI104" s="179">
        <f t="shared" si="133"/>
        <v>0.58135318400785507</v>
      </c>
      <c r="AJ104" s="179">
        <f t="shared" si="184"/>
        <v>0.68542593597395551</v>
      </c>
      <c r="AK104" s="179">
        <f t="shared" si="185"/>
        <v>1.4929081007214484</v>
      </c>
      <c r="AM104" s="563">
        <f t="shared" si="136"/>
        <v>108.89999999999999</v>
      </c>
      <c r="AN104" s="472">
        <f t="shared" si="137"/>
        <v>249.18769128135801</v>
      </c>
      <c r="AP104">
        <f t="shared" si="138"/>
        <v>108.89999999999999</v>
      </c>
      <c r="AQ104">
        <f t="shared" si="139"/>
        <v>249.18769128135801</v>
      </c>
      <c r="AS104" s="6">
        <f t="shared" si="164"/>
        <v>4.0130393072701942</v>
      </c>
      <c r="AT104" s="6">
        <f t="shared" si="140"/>
        <v>2.6845849158979922</v>
      </c>
      <c r="AU104" s="6">
        <f t="shared" si="165"/>
        <v>1.328454391372202</v>
      </c>
      <c r="AV104" s="6">
        <f t="shared" si="141"/>
        <v>1.3284543913722022</v>
      </c>
      <c r="AW104" s="179">
        <f t="shared" si="166"/>
        <v>0.66896551724137931</v>
      </c>
      <c r="AX104" s="179">
        <f t="shared" si="142"/>
        <v>2.7511578947368425</v>
      </c>
      <c r="AY104" s="179">
        <f t="shared" si="143"/>
        <v>0.11344981009224091</v>
      </c>
      <c r="AZ104" s="179">
        <f t="shared" si="167"/>
        <v>24.250000000000004</v>
      </c>
      <c r="BA104" s="472">
        <f t="shared" si="144"/>
        <v>1.2181304055887139</v>
      </c>
      <c r="BB104" s="6">
        <f t="shared" si="145"/>
        <v>0.50760941480853605</v>
      </c>
      <c r="BC104" s="6"/>
      <c r="BD104" s="179">
        <f t="shared" si="168"/>
        <v>0.32366949664160483</v>
      </c>
      <c r="BE104" s="179">
        <f t="shared" si="146"/>
        <v>0.22768610302862394</v>
      </c>
      <c r="BF104" s="179"/>
      <c r="BG104" s="546">
        <f t="shared" si="147"/>
        <v>3.6666680069680442E-2</v>
      </c>
      <c r="BH104" s="546">
        <f t="shared" si="148"/>
        <v>4.6436170212765963E-2</v>
      </c>
      <c r="BI104" s="546">
        <f t="shared" si="149"/>
        <v>3.1148461410169751E-3</v>
      </c>
      <c r="BJ104" s="546">
        <f t="shared" si="150"/>
        <v>1.6372410028720478E-2</v>
      </c>
      <c r="BK104">
        <f t="shared" si="151"/>
        <v>3.48E-3</v>
      </c>
      <c r="BL104" s="546">
        <f t="shared" si="186"/>
        <v>0.10743506950924274</v>
      </c>
      <c r="BM104" s="472">
        <f t="shared" si="169"/>
        <v>107.43506950924274</v>
      </c>
      <c r="BN104" s="546">
        <f t="shared" si="153"/>
        <v>3.2669999999999998E-2</v>
      </c>
      <c r="BO104" s="546"/>
      <c r="BQ104" s="472">
        <f t="shared" si="170"/>
        <v>32.669999999999995</v>
      </c>
      <c r="BR104" s="546">
        <f t="shared" si="154"/>
        <v>2.0952388611245969E-2</v>
      </c>
      <c r="BS104" s="546">
        <f t="shared" si="155"/>
        <v>1.0368192302472231E-2</v>
      </c>
      <c r="BT104" s="546">
        <f t="shared" si="156"/>
        <v>1.9062848865117606E-2</v>
      </c>
      <c r="BU104" s="546">
        <f t="shared" si="187"/>
        <v>5.0509989957027823E-2</v>
      </c>
      <c r="BV104" s="546">
        <f t="shared" si="158"/>
        <v>2.1658051511758123E-2</v>
      </c>
      <c r="BW104" s="472">
        <f t="shared" si="171"/>
        <v>72.168041468785944</v>
      </c>
      <c r="BX104" s="179">
        <f t="shared" si="172"/>
        <v>0.21227311097802867</v>
      </c>
      <c r="BY104" s="6">
        <f t="shared" si="173"/>
        <v>2.6135999999999999</v>
      </c>
      <c r="BZ104" s="179">
        <f t="shared" si="174"/>
        <v>0.92488229207695694</v>
      </c>
      <c r="CA104" s="6">
        <f t="shared" si="175"/>
        <v>92.488229207695696</v>
      </c>
      <c r="CD104" s="581">
        <f t="shared" si="159"/>
        <v>-50</v>
      </c>
      <c r="CE104">
        <f t="shared" si="160"/>
        <v>-50</v>
      </c>
    </row>
    <row r="105" spans="5:83" x14ac:dyDescent="0.2">
      <c r="E105" s="176">
        <v>100</v>
      </c>
      <c r="F105" s="223">
        <f t="shared" si="188"/>
        <v>0.11</v>
      </c>
      <c r="G105" s="223"/>
      <c r="H105" s="223">
        <f t="shared" si="177"/>
        <v>2.64</v>
      </c>
      <c r="I105" s="559">
        <f t="shared" si="114"/>
        <v>12</v>
      </c>
      <c r="J105" s="178">
        <f t="shared" si="115"/>
        <v>24.25</v>
      </c>
      <c r="K105" s="454">
        <f t="shared" si="116"/>
        <v>36.25</v>
      </c>
      <c r="L105" s="454"/>
      <c r="M105" s="223">
        <f t="shared" si="117"/>
        <v>0.66896551724137931</v>
      </c>
      <c r="N105" s="178">
        <f t="shared" si="118"/>
        <v>5.528999999999999</v>
      </c>
      <c r="O105" s="178">
        <f t="shared" si="162"/>
        <v>2.64</v>
      </c>
      <c r="P105" s="223">
        <f t="shared" si="178"/>
        <v>0.23037499999999997</v>
      </c>
      <c r="Q105" s="223">
        <f t="shared" si="120"/>
        <v>24</v>
      </c>
      <c r="R105" s="223">
        <f t="shared" si="179"/>
        <v>0.24250000000000002</v>
      </c>
      <c r="S105" s="178">
        <f t="shared" si="122"/>
        <v>63.183657141660049</v>
      </c>
      <c r="T105" s="550">
        <f t="shared" si="180"/>
        <v>24</v>
      </c>
      <c r="U105" s="550">
        <f t="shared" si="124"/>
        <v>0.6923494302767228</v>
      </c>
      <c r="V105" s="223">
        <f t="shared" si="181"/>
        <v>2.7117019352504976</v>
      </c>
      <c r="W105" s="223">
        <f t="shared" si="126"/>
        <v>1.3418731225981844</v>
      </c>
      <c r="X105" s="203">
        <f t="shared" si="127"/>
        <v>350</v>
      </c>
      <c r="Y105" s="454">
        <f t="shared" si="163"/>
        <v>246.6958143685444</v>
      </c>
      <c r="AA105" s="223">
        <f t="shared" si="128"/>
        <v>0.48799916151346817</v>
      </c>
      <c r="AB105" s="179">
        <f t="shared" si="182"/>
        <v>0.94581280788177335</v>
      </c>
      <c r="AC105" s="179">
        <f t="shared" si="183"/>
        <v>8.077227500912576E-2</v>
      </c>
      <c r="AD105" s="179"/>
      <c r="AE105" s="179">
        <f t="shared" si="131"/>
        <v>0.56206185567010303</v>
      </c>
      <c r="AF105" s="563">
        <f t="shared" si="189"/>
        <v>1349.7103245882565</v>
      </c>
      <c r="AG105" s="546">
        <f t="shared" si="132"/>
        <v>2.8524639175257726E-2</v>
      </c>
      <c r="AI105" s="179">
        <f t="shared" si="133"/>
        <v>0.58428193394924144</v>
      </c>
      <c r="AJ105" s="179">
        <f t="shared" si="184"/>
        <v>0.6923494302767228</v>
      </c>
      <c r="AK105" s="179">
        <f t="shared" si="185"/>
        <v>1.4980366150197946</v>
      </c>
      <c r="AM105" s="563">
        <f t="shared" si="136"/>
        <v>110</v>
      </c>
      <c r="AN105" s="472">
        <f t="shared" si="137"/>
        <v>246.6958143685444</v>
      </c>
      <c r="AP105">
        <f t="shared" si="138"/>
        <v>110</v>
      </c>
      <c r="AQ105" s="4">
        <f t="shared" si="139"/>
        <v>246.6958143685444</v>
      </c>
      <c r="AS105" s="6">
        <f t="shared" si="164"/>
        <v>4.0535750578486818</v>
      </c>
      <c r="AT105" s="6">
        <f t="shared" si="140"/>
        <v>2.7117019352504976</v>
      </c>
      <c r="AU105" s="6">
        <f t="shared" si="165"/>
        <v>1.3418731225981841</v>
      </c>
      <c r="AV105" s="6">
        <f t="shared" si="141"/>
        <v>1.3418731225981844</v>
      </c>
      <c r="AW105" s="179">
        <f t="shared" si="166"/>
        <v>0.66896551724137931</v>
      </c>
      <c r="AX105" s="179">
        <f t="shared" si="142"/>
        <v>2.7789473684210533</v>
      </c>
      <c r="AY105" s="179">
        <f t="shared" si="143"/>
        <v>0.11459576776994032</v>
      </c>
      <c r="AZ105" s="179">
        <f t="shared" si="167"/>
        <v>24.250000000000004</v>
      </c>
      <c r="BA105" s="472">
        <f t="shared" si="144"/>
        <v>1.2428633869898114</v>
      </c>
      <c r="BB105" s="6">
        <f t="shared" si="145"/>
        <v>0.51791594205543945</v>
      </c>
      <c r="BC105" s="6"/>
      <c r="BD105" s="179">
        <f t="shared" si="168"/>
        <v>0.32693888549657057</v>
      </c>
      <c r="BE105" s="179">
        <f t="shared" si="146"/>
        <v>0.22998596265517574</v>
      </c>
      <c r="BF105" s="179"/>
      <c r="BG105" s="546">
        <f t="shared" si="147"/>
        <v>3.7411162197408886E-2</v>
      </c>
      <c r="BH105" s="546">
        <f t="shared" si="148"/>
        <v>4.6436170212765956E-2</v>
      </c>
      <c r="BI105" s="546">
        <f t="shared" si="149"/>
        <v>3.0836976796068051E-3</v>
      </c>
      <c r="BJ105" s="546">
        <f t="shared" si="150"/>
        <v>1.6208685928433268E-2</v>
      </c>
      <c r="BK105">
        <f t="shared" si="151"/>
        <v>3.48E-3</v>
      </c>
      <c r="BL105" s="546">
        <f t="shared" si="186"/>
        <v>0.10801997547135635</v>
      </c>
      <c r="BM105" s="472">
        <f t="shared" si="169"/>
        <v>108.01997547135635</v>
      </c>
      <c r="BN105" s="546">
        <f t="shared" si="153"/>
        <v>3.3000000000000002E-2</v>
      </c>
      <c r="BO105" s="546"/>
      <c r="BQ105" s="472">
        <f t="shared" si="170"/>
        <v>33</v>
      </c>
      <c r="BR105" s="546">
        <f t="shared" si="154"/>
        <v>2.1377806969947941E-2</v>
      </c>
      <c r="BS105" s="546">
        <f t="shared" si="155"/>
        <v>1.0578708603685578E-2</v>
      </c>
      <c r="BT105" s="546">
        <f t="shared" si="156"/>
        <v>1.9062848865117613E-2</v>
      </c>
      <c r="BU105" s="546">
        <f t="shared" si="187"/>
        <v>5.1150130834960797E-2</v>
      </c>
      <c r="BV105" s="546">
        <f t="shared" si="158"/>
        <v>2.1876819708846591E-2</v>
      </c>
      <c r="BW105" s="472">
        <f t="shared" si="171"/>
        <v>73.026950543807402</v>
      </c>
      <c r="BX105" s="179">
        <f t="shared" si="172"/>
        <v>0.21404692601516373</v>
      </c>
      <c r="BY105" s="6">
        <f t="shared" si="173"/>
        <v>2.64</v>
      </c>
      <c r="BZ105" s="179">
        <f t="shared" si="174"/>
        <v>0.92500231020587409</v>
      </c>
      <c r="CA105" s="6">
        <f t="shared" si="175"/>
        <v>92.500231020587407</v>
      </c>
      <c r="CD105" s="581">
        <f t="shared" si="159"/>
        <v>-50</v>
      </c>
      <c r="CE105">
        <f t="shared" si="160"/>
        <v>-50</v>
      </c>
    </row>
    <row r="106" spans="5:83" x14ac:dyDescent="0.2">
      <c r="E106" s="176"/>
      <c r="F106" s="223"/>
      <c r="G106" s="223"/>
      <c r="H106" s="223"/>
      <c r="I106" s="559"/>
      <c r="J106" s="454"/>
      <c r="K106" s="454"/>
      <c r="L106" s="454"/>
      <c r="M106" s="223"/>
      <c r="N106" s="178"/>
      <c r="O106" s="178"/>
      <c r="P106" s="223"/>
      <c r="Q106" s="223"/>
      <c r="R106" s="223"/>
      <c r="S106" s="178"/>
      <c r="T106" s="178"/>
      <c r="U106" s="223"/>
      <c r="V106" s="223"/>
      <c r="W106" s="223"/>
      <c r="X106" s="203"/>
      <c r="Y106" s="454"/>
      <c r="AA106" s="223"/>
      <c r="AB106" s="179"/>
      <c r="AC106" s="179"/>
      <c r="AD106" s="179"/>
      <c r="AE106" s="179"/>
      <c r="AF106" s="563"/>
      <c r="AI106" s="179"/>
      <c r="AJ106" s="179"/>
      <c r="AK106" s="179"/>
      <c r="AM106" s="563"/>
      <c r="AN106" s="472"/>
      <c r="AQ106" s="4"/>
      <c r="AS106" s="6"/>
      <c r="AT106" s="6"/>
      <c r="AU106" s="6"/>
      <c r="AV106" s="6"/>
      <c r="AW106" s="179"/>
      <c r="AX106" s="179"/>
      <c r="AY106" s="179"/>
      <c r="AZ106" s="179"/>
      <c r="BA106" s="472"/>
      <c r="BB106" s="6"/>
      <c r="BC106" s="6"/>
      <c r="BD106" s="179"/>
      <c r="BE106" s="179"/>
      <c r="BF106" s="179"/>
      <c r="BG106" s="546"/>
      <c r="BH106" s="546"/>
      <c r="BI106" s="546"/>
      <c r="BJ106" s="546"/>
      <c r="BM106" s="472"/>
      <c r="BN106" s="546"/>
      <c r="BO106" s="546"/>
      <c r="BQ106" s="472"/>
      <c r="BR106" s="546"/>
      <c r="BS106" s="546"/>
      <c r="BT106" s="546"/>
      <c r="BU106" s="546"/>
      <c r="BV106" s="546"/>
      <c r="BW106" s="472"/>
      <c r="BX106" s="179"/>
      <c r="BY106" s="6"/>
      <c r="BZ106" s="179"/>
      <c r="CA106" s="6"/>
      <c r="CD106" s="581"/>
    </row>
    <row r="107" spans="5:83" x14ac:dyDescent="0.2">
      <c r="H107" s="223"/>
      <c r="I107" s="559"/>
      <c r="J107" s="454"/>
      <c r="K107" s="454"/>
      <c r="L107" s="454"/>
      <c r="M107" s="223"/>
      <c r="N107" s="178"/>
      <c r="O107" s="178"/>
      <c r="P107" s="223"/>
      <c r="Q107" s="223"/>
      <c r="R107" s="223"/>
      <c r="S107" s="178"/>
      <c r="T107" s="178"/>
      <c r="U107" s="223"/>
      <c r="V107" s="223"/>
      <c r="W107" s="223"/>
      <c r="X107" s="203"/>
      <c r="Y107" s="454"/>
      <c r="AA107" s="223"/>
      <c r="AB107" s="179"/>
      <c r="AC107" s="179"/>
      <c r="AD107" s="179"/>
      <c r="AE107" s="179"/>
      <c r="AF107" s="563"/>
      <c r="AI107" s="179"/>
      <c r="AJ107" s="179"/>
      <c r="AK107" s="179"/>
      <c r="AM107" s="563"/>
      <c r="AN107" s="472"/>
      <c r="AS107" s="6"/>
      <c r="AT107" s="6"/>
      <c r="AU107" s="6"/>
      <c r="AV107" s="6"/>
      <c r="AW107" s="179"/>
      <c r="AX107" s="179"/>
      <c r="AY107" s="179"/>
      <c r="AZ107" s="179"/>
      <c r="BD107" s="179"/>
      <c r="BE107" s="179"/>
      <c r="BG107" s="546"/>
      <c r="BH107" s="546"/>
      <c r="BI107" s="546"/>
      <c r="BJ107" s="546"/>
      <c r="BM107" s="472"/>
      <c r="BN107" s="546"/>
      <c r="BQ107" s="472"/>
      <c r="BR107" s="546"/>
      <c r="BS107" s="546"/>
      <c r="BT107" s="546"/>
      <c r="BU107" s="546"/>
      <c r="BV107" s="546"/>
      <c r="BW107" s="472"/>
      <c r="BX107" s="179"/>
      <c r="BY107" s="6"/>
      <c r="BZ107" s="179"/>
      <c r="CA107" s="6"/>
      <c r="CD107" s="581"/>
    </row>
    <row r="108" spans="5:83" x14ac:dyDescent="0.2">
      <c r="E108" s="456" t="s">
        <v>445</v>
      </c>
      <c r="H108" s="223"/>
      <c r="I108" s="559"/>
      <c r="J108" s="454"/>
      <c r="K108" s="454"/>
      <c r="L108" s="454"/>
      <c r="M108" s="223"/>
      <c r="N108" s="178"/>
      <c r="O108" s="178"/>
      <c r="P108" s="223"/>
      <c r="Q108" s="223"/>
      <c r="R108" s="223"/>
      <c r="S108" s="178"/>
      <c r="T108" s="178"/>
      <c r="U108" s="223"/>
      <c r="V108" s="223"/>
      <c r="W108" s="223"/>
      <c r="X108" s="203"/>
      <c r="Y108" s="454"/>
      <c r="AA108" s="223"/>
      <c r="AB108" s="179"/>
      <c r="AC108" s="179"/>
      <c r="AD108" s="179"/>
      <c r="AE108" s="179"/>
      <c r="AF108" s="563"/>
      <c r="AI108" s="179"/>
      <c r="AJ108" s="179"/>
      <c r="AK108" s="179"/>
      <c r="AM108" s="563"/>
      <c r="AN108" s="472"/>
      <c r="AS108" s="6"/>
      <c r="AT108" s="6"/>
      <c r="AU108" s="6"/>
      <c r="AV108" s="6"/>
      <c r="AW108" s="179"/>
      <c r="AX108" s="179"/>
      <c r="AY108" s="179"/>
      <c r="AZ108" s="179"/>
      <c r="BD108" s="179"/>
      <c r="BE108" s="179"/>
      <c r="BG108" s="546"/>
      <c r="BH108" s="546"/>
      <c r="BI108" s="546"/>
      <c r="BJ108" s="546"/>
      <c r="BM108" s="472"/>
      <c r="BN108" s="546"/>
      <c r="BQ108" s="472"/>
      <c r="BR108" s="546"/>
      <c r="BS108" s="546"/>
      <c r="BT108" s="546"/>
      <c r="BU108" s="546"/>
      <c r="BV108" s="546"/>
      <c r="BW108" s="472"/>
      <c r="BX108" s="179"/>
      <c r="BY108" s="6"/>
      <c r="BZ108" s="179"/>
      <c r="CA108" s="6"/>
      <c r="CD108" s="581"/>
    </row>
    <row r="109" spans="5:83" ht="45" customHeight="1" thickBot="1" x14ac:dyDescent="0.25">
      <c r="E109" s="247" t="s">
        <v>25</v>
      </c>
      <c r="F109" s="455" t="s">
        <v>195</v>
      </c>
      <c r="G109" s="266"/>
      <c r="H109" s="545" t="s">
        <v>224</v>
      </c>
      <c r="I109" s="248" t="s">
        <v>423</v>
      </c>
      <c r="J109" s="249" t="s">
        <v>429</v>
      </c>
      <c r="K109" s="545" t="s">
        <v>424</v>
      </c>
      <c r="L109" s="545"/>
      <c r="M109" s="250" t="s">
        <v>48</v>
      </c>
      <c r="N109" s="545" t="s">
        <v>413</v>
      </c>
      <c r="O109" s="545" t="s">
        <v>681</v>
      </c>
      <c r="P109" s="545" t="s">
        <v>414</v>
      </c>
      <c r="Q109" s="545" t="s">
        <v>444</v>
      </c>
      <c r="R109" s="545" t="s">
        <v>679</v>
      </c>
      <c r="S109" s="545" t="s">
        <v>682</v>
      </c>
      <c r="T109" s="545" t="s">
        <v>680</v>
      </c>
      <c r="U109" s="545" t="s">
        <v>425</v>
      </c>
      <c r="V109" s="545" t="s">
        <v>477</v>
      </c>
      <c r="W109" s="545" t="s">
        <v>476</v>
      </c>
      <c r="X109" s="565" t="s">
        <v>431</v>
      </c>
      <c r="Y109" s="560" t="s">
        <v>436</v>
      </c>
      <c r="AA109" s="251" t="s">
        <v>428</v>
      </c>
      <c r="AB109" s="251" t="s">
        <v>475</v>
      </c>
      <c r="AC109" s="251" t="s">
        <v>434</v>
      </c>
      <c r="AD109" s="562"/>
      <c r="AE109" s="251" t="s">
        <v>474</v>
      </c>
      <c r="AF109" s="251" t="s">
        <v>437</v>
      </c>
      <c r="AG109" s="251" t="s">
        <v>438</v>
      </c>
      <c r="AH109" s="562"/>
      <c r="AI109" s="251" t="s">
        <v>440</v>
      </c>
      <c r="AJ109" s="566" t="s">
        <v>441</v>
      </c>
      <c r="AK109" s="566" t="s">
        <v>442</v>
      </c>
      <c r="AM109" s="561" t="s">
        <v>276</v>
      </c>
      <c r="AN109" s="561" t="s">
        <v>443</v>
      </c>
      <c r="AP109" s="251" t="s">
        <v>276</v>
      </c>
      <c r="AQ109" s="251" t="s">
        <v>443</v>
      </c>
      <c r="AR109" s="567"/>
      <c r="AS109" s="251" t="s">
        <v>478</v>
      </c>
      <c r="AT109" s="6"/>
      <c r="AU109" s="6"/>
      <c r="AV109" s="6"/>
      <c r="AW109" s="179"/>
      <c r="AX109" s="179"/>
      <c r="AY109" s="179"/>
      <c r="AZ109" s="179"/>
      <c r="BA109" s="251" t="s">
        <v>493</v>
      </c>
      <c r="BB109" s="251" t="s">
        <v>494</v>
      </c>
      <c r="BC109" s="562"/>
      <c r="BD109" s="576" t="s">
        <v>467</v>
      </c>
      <c r="BE109" s="251" t="s">
        <v>468</v>
      </c>
      <c r="BF109" s="562"/>
      <c r="BG109" s="576" t="s">
        <v>485</v>
      </c>
      <c r="BH109" s="251" t="s">
        <v>486</v>
      </c>
      <c r="BI109" s="251" t="s">
        <v>484</v>
      </c>
      <c r="BJ109" s="251" t="s">
        <v>480</v>
      </c>
      <c r="BK109" s="251" t="s">
        <v>489</v>
      </c>
      <c r="BL109" s="251"/>
      <c r="BM109" s="251" t="s">
        <v>504</v>
      </c>
      <c r="BN109" s="576" t="s">
        <v>487</v>
      </c>
      <c r="BO109" s="251" t="s">
        <v>488</v>
      </c>
      <c r="BP109" s="251" t="s">
        <v>496</v>
      </c>
      <c r="BQ109" s="251" t="s">
        <v>500</v>
      </c>
      <c r="BR109" s="576" t="s">
        <v>469</v>
      </c>
      <c r="BS109" s="251" t="s">
        <v>470</v>
      </c>
      <c r="BT109" s="251" t="s">
        <v>479</v>
      </c>
      <c r="BU109" s="251"/>
      <c r="BV109" s="251" t="s">
        <v>497</v>
      </c>
      <c r="BW109" s="251" t="s">
        <v>499</v>
      </c>
      <c r="BX109" s="576" t="s">
        <v>495</v>
      </c>
      <c r="BY109" s="251" t="s">
        <v>224</v>
      </c>
      <c r="BZ109" s="251" t="s">
        <v>47</v>
      </c>
      <c r="CA109" s="251" t="s">
        <v>498</v>
      </c>
      <c r="CB109" s="251"/>
      <c r="CD109" s="581"/>
    </row>
    <row r="110" spans="5:83" x14ac:dyDescent="0.2">
      <c r="E110" s="176">
        <v>0.1</v>
      </c>
      <c r="F110" s="223">
        <v>1.0000000000000001E-9</v>
      </c>
      <c r="G110" s="223"/>
      <c r="H110" s="223">
        <f t="shared" ref="H110:H141" si="190">F110*Vout</f>
        <v>2.4000000000000003E-8</v>
      </c>
      <c r="I110" s="559">
        <f t="shared" ref="I110:I141" si="191">VIN_min</f>
        <v>10</v>
      </c>
      <c r="J110" s="454">
        <f t="shared" ref="J110:J141" si="192">(T110+Vfwd1)*Nps</f>
        <v>24.25</v>
      </c>
      <c r="K110" s="454">
        <f t="shared" ref="K110:K141" si="193">(Vout+Vfwd1)*Nps+I110</f>
        <v>34.25</v>
      </c>
      <c r="L110" s="454"/>
      <c r="M110" s="223">
        <f t="shared" ref="M110:M141" si="194">(Vout+Vfwd1)*Nps/((Vout+Vfwd1)*Nps+I110)</f>
        <v>0.70802919708029199</v>
      </c>
      <c r="N110" s="178">
        <f>M110*I110*Isw_max*0.5*Efficiency</f>
        <v>4.8765510948905106</v>
      </c>
      <c r="O110" s="178">
        <f t="shared" si="162"/>
        <v>2.4000000000000003E-8</v>
      </c>
      <c r="P110" s="223">
        <f t="shared" ref="P110:P141" si="195">N110/Vout</f>
        <v>0.20318962895377127</v>
      </c>
      <c r="Q110" s="223">
        <f t="shared" ref="Q110:Q141" si="196">MIN(Vout,N110/F110)</f>
        <v>24</v>
      </c>
      <c r="R110" s="223"/>
      <c r="S110" s="178">
        <f t="shared" ref="S110:S141" si="197">(SQRT(Isw_max^2*Nps^2*I110^2+4*Isw_max*F110/Efficiency*(Nps^2*Vfwd1*I110-Nps*I110^2)+4*(F110/Efficiency)^2*Nps^2*Vfwd1^2+8*(F110/Efficiency)^2*Nps*Vfwd1*I110+4*(F110/Efficiency)^2*I110^2)-2*F110/Efficiency*I110-2*F110/Efficiency*Nps*Vfwd1+Isw_max*Nps*I110)/(4*F110/Efficiency*Nps)</f>
        <v>6887499989.999999</v>
      </c>
      <c r="T110" s="178">
        <f t="shared" ref="T110:T141" si="198">MIN(Vout, S110)</f>
        <v>24</v>
      </c>
      <c r="U110" s="223">
        <f t="shared" ref="U110:U141" si="199">MIN(2*Vout*F110/(Efficiency*I110*M110), Isw_max)</f>
        <v>7.1361909929462842E-9</v>
      </c>
      <c r="V110" s="223">
        <f t="shared" ref="V110:V141" si="200">L*U110/I110*1000000</f>
        <v>3.3540097666847535E-8</v>
      </c>
      <c r="W110" s="223">
        <f t="shared" ref="W110:W141" si="201">L*U110/J110*1000000</f>
        <v>1.383096811004022E-8</v>
      </c>
      <c r="X110" s="203">
        <f t="shared" ref="X110:X141" si="202">IF(1/((350000*L)*(1/I110+1/J110))&gt;Isw_min, 350, 0.001/((Isw_min*L)*(1/I110+1/J110)))</f>
        <v>350</v>
      </c>
      <c r="Y110" s="454">
        <f t="shared" ref="Y110:Y169" si="203">MIN(1/(V110+W110)*1000, 350)</f>
        <v>350</v>
      </c>
      <c r="AA110" s="223">
        <f t="shared" ref="AA110:AA141" si="204">1/((X110*1000*L)*(1/I110+1/J110))</f>
        <v>0.43041288576309544</v>
      </c>
      <c r="AB110" s="179">
        <f t="shared" ref="AB110:AB141" si="205">L*AA110/J110*1000000</f>
        <v>0.83420229405630864</v>
      </c>
      <c r="AC110" s="179">
        <f t="shared" ref="AC110:AC141" si="206">0.5*AB110*AA110*Nps*X110/1000</f>
        <v>6.2833997921619769E-2</v>
      </c>
      <c r="AD110" s="179"/>
      <c r="AE110" s="179">
        <f t="shared" ref="AE110:AE141" si="207">L*Isw_min/J110*1000000</f>
        <v>0.56206185567010303</v>
      </c>
      <c r="AF110" s="563">
        <f t="shared" ref="AF110:AF141" si="208">MAX(10000,F110/(0.5*AE110/1000000*Isw_min*Nps))/1000</f>
        <v>10</v>
      </c>
      <c r="AG110" s="546">
        <f t="shared" ref="AG110:AG141" si="209">0.5*AE110/1000000*Isw_min*Nps*X110*1000</f>
        <v>2.8524639175257726E-2</v>
      </c>
      <c r="AI110" s="179">
        <f t="shared" ref="AI110:AI141" si="210">SQRT(F110/(0.5*L/J110*Fsw_DCM*Nps))</f>
        <v>5.4298510729827612E-5</v>
      </c>
      <c r="AJ110" s="179">
        <f t="shared" ref="AJ110:AJ141" si="211">MAX(IF(F110&gt;AC110,U110,AI110),Isw_min)</f>
        <v>0.28999999999999998</v>
      </c>
      <c r="AK110" s="179">
        <f t="shared" ref="AK110:AK141" si="212">IF(F110&gt;AG110, (AJ110-Isw_min)/1.08*0.8+1.2, AF110*0.2/350+1)</f>
        <v>1.0057142857142858</v>
      </c>
      <c r="AM110" s="563">
        <f t="shared" ref="AM110:AM141" si="213">F110*1000</f>
        <v>1.0000000000000002E-6</v>
      </c>
      <c r="AN110" s="472">
        <f t="shared" ref="AN110:AN141" si="214">IF(F110&gt;AG110, Y110, AF110)</f>
        <v>10</v>
      </c>
      <c r="AP110" s="472">
        <f t="shared" ref="AP110:AP141" si="215">IF(H110&gt;N110, "",AM110)</f>
        <v>1.0000000000000002E-6</v>
      </c>
      <c r="AQ110" s="472">
        <f t="shared" ref="AQ110:AQ141" si="216">IF(H110&gt;N110, "",AN110)</f>
        <v>10</v>
      </c>
      <c r="AS110" s="6">
        <f t="shared" si="164"/>
        <v>100</v>
      </c>
      <c r="AT110" s="6">
        <f t="shared" ref="AT110:AT141" si="217">L*AJ110/I110*1000000</f>
        <v>1.363</v>
      </c>
      <c r="AU110" s="6">
        <f t="shared" ref="AU110:AU169" si="218">AS110-AT110</f>
        <v>98.637</v>
      </c>
      <c r="AV110" s="6"/>
      <c r="AW110" s="179">
        <f t="shared" ref="AW110:AW169" si="219">AT110/AS110</f>
        <v>1.363E-2</v>
      </c>
      <c r="AX110" s="179">
        <f t="shared" si="142"/>
        <v>1.9763499999999996E-2</v>
      </c>
      <c r="AY110" s="179">
        <f t="shared" si="143"/>
        <v>0.14302364999999997</v>
      </c>
      <c r="AZ110" s="179">
        <f t="shared" si="167"/>
        <v>0.13818344029116864</v>
      </c>
      <c r="BD110" s="179">
        <f t="shared" si="168"/>
        <v>1.9547233393330456E-2</v>
      </c>
      <c r="BE110" s="179">
        <f t="shared" si="146"/>
        <v>0.16628661702013184</v>
      </c>
      <c r="BG110" s="546">
        <f t="shared" ref="BG110:BG169" si="220">Rdson*BD110^2</f>
        <v>1.3373301666666664E-4</v>
      </c>
      <c r="BH110" s="546">
        <f t="shared" ref="BH110:BH169" si="221">0.5*K110*AJ110*AN110*1000*Trise</f>
        <v>7.4493749999999983E-4</v>
      </c>
      <c r="BI110" s="546">
        <f t="shared" ref="BI110:BI169" si="222">Qg*Vdd*AN110*1000</f>
        <v>1.25E-4</v>
      </c>
      <c r="BJ110" s="546">
        <f t="shared" ref="BJ110:BJ169" si="223">0.5*(Coss+Csw)*K110^2*AN110*1000</f>
        <v>5.8653125000000003E-4</v>
      </c>
      <c r="BK110">
        <f t="shared" ref="BK110:BK169" si="224">I110*IQ</f>
        <v>2.8999999999999998E-3</v>
      </c>
      <c r="BM110" s="472">
        <f t="shared" ref="BM110:BM169" si="225">SUM(BG110:BK110)*1000</f>
        <v>4.490201766666666</v>
      </c>
      <c r="BN110" s="546">
        <f t="shared" ref="BN110:BN169" si="226">Vfwd2*F110</f>
        <v>3E-10</v>
      </c>
      <c r="BQ110" s="472">
        <f t="shared" ref="BQ110:BQ169" si="227">SUM(BN110:BP110)*1000</f>
        <v>2.9999999999999999E-7</v>
      </c>
      <c r="BR110" s="546">
        <f t="shared" ref="BR110:BR169" si="228">Rdcr_pri*BD110^2</f>
        <v>7.6418866666666668E-5</v>
      </c>
      <c r="BS110" s="546">
        <f t="shared" ref="BS110:BS169" si="229">Rdcr_sec*BE110^2</f>
        <v>5.5302478000000006E-3</v>
      </c>
      <c r="BT110" s="546">
        <f t="shared" ref="BT110:BT169" si="230">AJ110^2.5*AN110^2.5*k_core</f>
        <v>7.1608569668720578E-7</v>
      </c>
      <c r="BU110" s="546"/>
      <c r="BV110" s="546">
        <f t="shared" ref="BV110:BV169" si="231">0.5*Lleak*0.000000001*AJ110^2*AN110*1000</f>
        <v>1.55585E-4</v>
      </c>
      <c r="BW110" s="472">
        <f t="shared" ref="BW110:BW169" si="232">SUM(BR110:BV110)*1000</f>
        <v>5.7629677523633536</v>
      </c>
      <c r="BX110" s="179">
        <f t="shared" ref="BX110:BX169" si="233">SUM(BG110:BK110,BN110:BP110,BR110:BV110)</f>
        <v>1.025316981903002E-2</v>
      </c>
      <c r="BY110" s="6">
        <f t="shared" ref="BY110:BY169" si="234">MIN(H110,O110)</f>
        <v>2.4000000000000003E-8</v>
      </c>
      <c r="BZ110" s="179">
        <f t="shared" ref="BZ110:BZ169" si="235">BY110/(BY110+BX110)</f>
        <v>2.3407340603915814E-6</v>
      </c>
      <c r="CA110" s="6">
        <f t="shared" ref="CA110:CA169" si="236">BZ110*100</f>
        <v>2.3407340603915814E-4</v>
      </c>
      <c r="CD110" s="581">
        <f t="shared" ref="CD110:CD141" si="237">IF(ABS(F110-Ioutmax_Vinmin)&lt;Iout/200, AN110, -50)</f>
        <v>-50</v>
      </c>
      <c r="CE110">
        <f t="shared" ref="CE110:CE141" si="238">IF(ABS(F110-Ioutmax_Vinmin)&lt;Iout/200, N110*BZ110, -50)</f>
        <v>-50</v>
      </c>
    </row>
    <row r="111" spans="5:83" x14ac:dyDescent="0.2">
      <c r="E111" s="176">
        <v>1</v>
      </c>
      <c r="F111" s="223">
        <f t="shared" ref="F111:F142" si="239">IF(PLOT_TYPE=1, E111/100*Iout_max, min_I*EXP(N111*rr/100))</f>
        <v>1.1000000000000001E-3</v>
      </c>
      <c r="G111" s="223"/>
      <c r="H111" s="223">
        <f t="shared" si="190"/>
        <v>2.64E-2</v>
      </c>
      <c r="I111" s="559">
        <f t="shared" si="191"/>
        <v>10</v>
      </c>
      <c r="J111" s="454">
        <f t="shared" si="192"/>
        <v>24.25</v>
      </c>
      <c r="K111" s="454">
        <f t="shared" si="193"/>
        <v>34.25</v>
      </c>
      <c r="L111" s="454"/>
      <c r="M111" s="223">
        <f t="shared" si="194"/>
        <v>0.70802919708029199</v>
      </c>
      <c r="N111" s="178">
        <f t="shared" ref="N111:N141" si="240">M111*I111*Isw_max*0.5*Efficiency</f>
        <v>4.8765510948905106</v>
      </c>
      <c r="O111" s="178">
        <f t="shared" si="162"/>
        <v>2.64E-2</v>
      </c>
      <c r="P111" s="223">
        <f t="shared" si="195"/>
        <v>0.20318962895377127</v>
      </c>
      <c r="Q111" s="223">
        <f t="shared" si="196"/>
        <v>24</v>
      </c>
      <c r="R111" s="223"/>
      <c r="S111" s="178">
        <f t="shared" si="197"/>
        <v>6251.3640362603637</v>
      </c>
      <c r="T111" s="178">
        <f t="shared" si="198"/>
        <v>24</v>
      </c>
      <c r="U111" s="223">
        <f t="shared" si="199"/>
        <v>7.8498100922409116E-3</v>
      </c>
      <c r="V111" s="223">
        <f t="shared" si="200"/>
        <v>3.6894107433532282E-2</v>
      </c>
      <c r="W111" s="223">
        <f t="shared" si="201"/>
        <v>1.5214064921044242E-2</v>
      </c>
      <c r="X111" s="203">
        <f t="shared" si="202"/>
        <v>350</v>
      </c>
      <c r="Y111" s="454">
        <f t="shared" si="203"/>
        <v>350</v>
      </c>
      <c r="AA111" s="223">
        <f t="shared" si="204"/>
        <v>0.43041288576309544</v>
      </c>
      <c r="AB111" s="179">
        <f t="shared" si="205"/>
        <v>0.83420229405630864</v>
      </c>
      <c r="AC111" s="179">
        <f t="shared" si="206"/>
        <v>6.2833997921619769E-2</v>
      </c>
      <c r="AD111" s="179"/>
      <c r="AE111" s="179">
        <f t="shared" si="207"/>
        <v>0.56206185567010303</v>
      </c>
      <c r="AF111" s="563">
        <f t="shared" si="208"/>
        <v>13.497103245882565</v>
      </c>
      <c r="AG111" s="546">
        <f t="shared" si="209"/>
        <v>2.8524639175257726E-2</v>
      </c>
      <c r="AI111" s="179">
        <f t="shared" si="210"/>
        <v>5.6948758495905111E-2</v>
      </c>
      <c r="AJ111" s="179">
        <f t="shared" si="211"/>
        <v>0.28999999999999998</v>
      </c>
      <c r="AK111" s="179">
        <f t="shared" si="212"/>
        <v>1.0077126304262185</v>
      </c>
      <c r="AM111" s="563">
        <f t="shared" si="213"/>
        <v>1.1000000000000001</v>
      </c>
      <c r="AN111" s="472">
        <f t="shared" si="214"/>
        <v>13.497103245882565</v>
      </c>
      <c r="AP111" s="472">
        <f t="shared" si="215"/>
        <v>1.1000000000000001</v>
      </c>
      <c r="AQ111" s="472">
        <f t="shared" si="216"/>
        <v>13.497103245882565</v>
      </c>
      <c r="AS111" s="6">
        <f t="shared" si="164"/>
        <v>74.089971883786305</v>
      </c>
      <c r="AT111" s="6">
        <f t="shared" si="217"/>
        <v>1.363</v>
      </c>
      <c r="AU111" s="6">
        <f t="shared" si="218"/>
        <v>72.726971883786305</v>
      </c>
      <c r="AV111" s="6"/>
      <c r="AW111" s="179">
        <f t="shared" si="219"/>
        <v>1.8396551724137934E-2</v>
      </c>
      <c r="AX111" s="179">
        <f t="shared" si="142"/>
        <v>2.6675000000000004E-2</v>
      </c>
      <c r="AY111" s="179">
        <f t="shared" si="143"/>
        <v>0.1423325</v>
      </c>
      <c r="AZ111" s="179">
        <f t="shared" si="167"/>
        <v>0.18741327525336801</v>
      </c>
      <c r="BD111" s="179">
        <f t="shared" si="168"/>
        <v>2.2709395999600399E-2</v>
      </c>
      <c r="BE111" s="179">
        <f t="shared" si="146"/>
        <v>0.16588434726238235</v>
      </c>
      <c r="BG111" s="546">
        <f t="shared" si="220"/>
        <v>1.805008333333333E-4</v>
      </c>
      <c r="BH111" s="546">
        <f t="shared" si="221"/>
        <v>1.0054498349229642E-3</v>
      </c>
      <c r="BI111" s="546">
        <f t="shared" si="222"/>
        <v>1.6871379057353206E-4</v>
      </c>
      <c r="BJ111" s="546">
        <f t="shared" si="223"/>
        <v>7.9164728381865578E-4</v>
      </c>
      <c r="BK111">
        <f t="shared" si="224"/>
        <v>2.8999999999999998E-3</v>
      </c>
      <c r="BM111" s="472">
        <f t="shared" si="225"/>
        <v>5.0463117426484851</v>
      </c>
      <c r="BN111" s="546">
        <f t="shared" si="226"/>
        <v>3.3E-4</v>
      </c>
      <c r="BQ111" s="472">
        <f t="shared" si="227"/>
        <v>0.33</v>
      </c>
      <c r="BR111" s="546">
        <f t="shared" si="228"/>
        <v>1.0314333333333332E-4</v>
      </c>
      <c r="BS111" s="546">
        <f t="shared" si="229"/>
        <v>5.5035233333333329E-3</v>
      </c>
      <c r="BT111" s="546">
        <f t="shared" si="230"/>
        <v>1.5155365831393684E-6</v>
      </c>
      <c r="BU111" s="546"/>
      <c r="BV111" s="546">
        <f t="shared" si="231"/>
        <v>2.0999468085106389E-4</v>
      </c>
      <c r="BW111" s="472">
        <f t="shared" si="232"/>
        <v>5.8181768841008692</v>
      </c>
      <c r="BX111" s="179">
        <f t="shared" si="233"/>
        <v>1.1194488626749355E-2</v>
      </c>
      <c r="BY111" s="6">
        <f t="shared" si="234"/>
        <v>2.64E-2</v>
      </c>
      <c r="BZ111" s="179">
        <f t="shared" si="235"/>
        <v>0.70223059188563575</v>
      </c>
      <c r="CA111" s="6">
        <f t="shared" si="236"/>
        <v>70.223059188563582</v>
      </c>
      <c r="CD111" s="581">
        <f t="shared" si="237"/>
        <v>-50</v>
      </c>
      <c r="CE111">
        <f t="shared" si="238"/>
        <v>-50</v>
      </c>
    </row>
    <row r="112" spans="5:83" x14ac:dyDescent="0.2">
      <c r="E112" s="176">
        <v>2</v>
      </c>
      <c r="F112" s="223">
        <f t="shared" si="239"/>
        <v>2.2000000000000001E-3</v>
      </c>
      <c r="G112" s="223"/>
      <c r="H112" s="223">
        <f t="shared" si="190"/>
        <v>5.28E-2</v>
      </c>
      <c r="I112" s="559">
        <f t="shared" si="191"/>
        <v>10</v>
      </c>
      <c r="J112" s="454">
        <f t="shared" si="192"/>
        <v>24.25</v>
      </c>
      <c r="K112" s="454">
        <f t="shared" si="193"/>
        <v>34.25</v>
      </c>
      <c r="L112" s="454"/>
      <c r="M112" s="223">
        <f t="shared" si="194"/>
        <v>0.70802919708029199</v>
      </c>
      <c r="N112" s="178">
        <f t="shared" si="240"/>
        <v>4.8765510948905106</v>
      </c>
      <c r="O112" s="178">
        <f t="shared" si="162"/>
        <v>5.28E-2</v>
      </c>
      <c r="P112" s="223">
        <f t="shared" si="195"/>
        <v>0.20318962895377127</v>
      </c>
      <c r="Q112" s="223">
        <f t="shared" si="196"/>
        <v>24</v>
      </c>
      <c r="R112" s="223"/>
      <c r="S112" s="178">
        <f t="shared" si="197"/>
        <v>3120.6826192244248</v>
      </c>
      <c r="T112" s="178">
        <f t="shared" si="198"/>
        <v>24</v>
      </c>
      <c r="U112" s="223">
        <f t="shared" si="199"/>
        <v>1.5699620184481823E-2</v>
      </c>
      <c r="V112" s="223">
        <f t="shared" si="200"/>
        <v>7.3788214867064564E-2</v>
      </c>
      <c r="W112" s="223">
        <f t="shared" si="201"/>
        <v>3.0428129842088484E-2</v>
      </c>
      <c r="X112" s="203">
        <f t="shared" si="202"/>
        <v>350</v>
      </c>
      <c r="Y112" s="454">
        <f t="shared" si="203"/>
        <v>350</v>
      </c>
      <c r="AA112" s="223">
        <f t="shared" si="204"/>
        <v>0.43041288576309544</v>
      </c>
      <c r="AB112" s="179">
        <f t="shared" si="205"/>
        <v>0.83420229405630864</v>
      </c>
      <c r="AC112" s="179">
        <f t="shared" si="206"/>
        <v>6.2833997921619769E-2</v>
      </c>
      <c r="AD112" s="179"/>
      <c r="AE112" s="179">
        <f t="shared" si="207"/>
        <v>0.56206185567010303</v>
      </c>
      <c r="AF112" s="563">
        <f t="shared" si="208"/>
        <v>26.99420649176513</v>
      </c>
      <c r="AG112" s="546">
        <f t="shared" si="209"/>
        <v>2.8524639175257726E-2</v>
      </c>
      <c r="AI112" s="179">
        <f t="shared" si="210"/>
        <v>8.053770662521903E-2</v>
      </c>
      <c r="AJ112" s="179">
        <f t="shared" si="211"/>
        <v>0.28999999999999998</v>
      </c>
      <c r="AK112" s="179">
        <f t="shared" si="212"/>
        <v>1.0154252608524372</v>
      </c>
      <c r="AM112" s="563">
        <f t="shared" si="213"/>
        <v>2.2000000000000002</v>
      </c>
      <c r="AN112" s="472">
        <f t="shared" si="214"/>
        <v>26.99420649176513</v>
      </c>
      <c r="AP112" s="472">
        <f t="shared" si="215"/>
        <v>2.2000000000000002</v>
      </c>
      <c r="AQ112" s="472">
        <f t="shared" si="216"/>
        <v>26.99420649176513</v>
      </c>
      <c r="AS112" s="6">
        <f t="shared" si="164"/>
        <v>37.044985941893152</v>
      </c>
      <c r="AT112" s="6">
        <f t="shared" si="217"/>
        <v>1.363</v>
      </c>
      <c r="AU112" s="6">
        <f t="shared" si="218"/>
        <v>35.681985941893153</v>
      </c>
      <c r="AV112" s="6"/>
      <c r="AW112" s="179">
        <f t="shared" si="219"/>
        <v>3.6793103448275868E-2</v>
      </c>
      <c r="AX112" s="179">
        <f t="shared" si="142"/>
        <v>5.3350000000000009E-2</v>
      </c>
      <c r="AY112" s="179">
        <f t="shared" si="143"/>
        <v>0.13966499999999998</v>
      </c>
      <c r="AZ112" s="179">
        <f t="shared" si="167"/>
        <v>0.38198546522034882</v>
      </c>
      <c r="BD112" s="179">
        <f t="shared" si="168"/>
        <v>3.2115935815936192E-2</v>
      </c>
      <c r="BE112" s="179">
        <f t="shared" si="146"/>
        <v>0.16432254866572629</v>
      </c>
      <c r="BG112" s="546">
        <f t="shared" si="220"/>
        <v>3.610016666666666E-4</v>
      </c>
      <c r="BH112" s="546">
        <f t="shared" si="221"/>
        <v>2.0108996698459283E-3</v>
      </c>
      <c r="BI112" s="546">
        <f t="shared" si="222"/>
        <v>3.3742758114706413E-4</v>
      </c>
      <c r="BJ112" s="546">
        <f t="shared" si="223"/>
        <v>1.5832945676373116E-3</v>
      </c>
      <c r="BK112">
        <f t="shared" si="224"/>
        <v>2.8999999999999998E-3</v>
      </c>
      <c r="BM112" s="472">
        <f t="shared" si="225"/>
        <v>7.1926234852969699</v>
      </c>
      <c r="BN112" s="546">
        <f t="shared" si="226"/>
        <v>6.6E-4</v>
      </c>
      <c r="BQ112" s="472">
        <f t="shared" si="227"/>
        <v>0.66</v>
      </c>
      <c r="BR112" s="546">
        <f t="shared" si="228"/>
        <v>2.0628666666666664E-4</v>
      </c>
      <c r="BS112" s="546">
        <f t="shared" si="229"/>
        <v>5.4003799999999972E-3</v>
      </c>
      <c r="BT112" s="546">
        <f t="shared" si="230"/>
        <v>8.5731695605931095E-6</v>
      </c>
      <c r="BU112" s="546"/>
      <c r="BV112" s="546">
        <f t="shared" si="231"/>
        <v>4.1998936170212778E-4</v>
      </c>
      <c r="BW112" s="472">
        <f t="shared" si="232"/>
        <v>6.0352291979293842</v>
      </c>
      <c r="BX112" s="179">
        <f t="shared" si="233"/>
        <v>1.3887852683226351E-2</v>
      </c>
      <c r="BY112" s="6">
        <f t="shared" si="234"/>
        <v>5.28E-2</v>
      </c>
      <c r="BZ112" s="179">
        <f t="shared" si="235"/>
        <v>0.79174839008244913</v>
      </c>
      <c r="CA112" s="6">
        <f t="shared" si="236"/>
        <v>79.174839008244916</v>
      </c>
      <c r="CD112" s="581">
        <f t="shared" si="237"/>
        <v>-50</v>
      </c>
      <c r="CE112">
        <f t="shared" si="238"/>
        <v>-50</v>
      </c>
    </row>
    <row r="113" spans="5:83" x14ac:dyDescent="0.2">
      <c r="E113" s="176">
        <v>3</v>
      </c>
      <c r="F113" s="223">
        <f t="shared" si="239"/>
        <v>3.3E-3</v>
      </c>
      <c r="G113" s="223"/>
      <c r="H113" s="223">
        <f t="shared" si="190"/>
        <v>7.9199999999999993E-2</v>
      </c>
      <c r="I113" s="559">
        <f t="shared" si="191"/>
        <v>10</v>
      </c>
      <c r="J113" s="454">
        <f t="shared" si="192"/>
        <v>24.25</v>
      </c>
      <c r="K113" s="454">
        <f t="shared" si="193"/>
        <v>34.25</v>
      </c>
      <c r="L113" s="454"/>
      <c r="M113" s="223">
        <f t="shared" si="194"/>
        <v>0.70802919708029199</v>
      </c>
      <c r="N113" s="178">
        <f t="shared" si="240"/>
        <v>4.8765510948905106</v>
      </c>
      <c r="O113" s="178">
        <f t="shared" si="162"/>
        <v>7.9199999999999993E-2</v>
      </c>
      <c r="P113" s="223">
        <f t="shared" si="195"/>
        <v>0.20318962895377127</v>
      </c>
      <c r="Q113" s="223">
        <f t="shared" si="196"/>
        <v>24</v>
      </c>
      <c r="R113" s="223"/>
      <c r="S113" s="178">
        <f t="shared" si="197"/>
        <v>2077.1224155645532</v>
      </c>
      <c r="T113" s="178">
        <f t="shared" si="198"/>
        <v>24</v>
      </c>
      <c r="U113" s="223">
        <f t="shared" si="199"/>
        <v>2.3549430276722731E-2</v>
      </c>
      <c r="V113" s="223">
        <f t="shared" si="200"/>
        <v>0.11068232230059684</v>
      </c>
      <c r="W113" s="223">
        <f t="shared" si="201"/>
        <v>4.5642194763132721E-2</v>
      </c>
      <c r="X113" s="203">
        <f t="shared" si="202"/>
        <v>350</v>
      </c>
      <c r="Y113" s="454">
        <f t="shared" si="203"/>
        <v>350</v>
      </c>
      <c r="AA113" s="223">
        <f t="shared" si="204"/>
        <v>0.43041288576309544</v>
      </c>
      <c r="AB113" s="179">
        <f t="shared" si="205"/>
        <v>0.83420229405630864</v>
      </c>
      <c r="AC113" s="179">
        <f t="shared" si="206"/>
        <v>6.2833997921619769E-2</v>
      </c>
      <c r="AD113" s="179"/>
      <c r="AE113" s="179">
        <f t="shared" si="207"/>
        <v>0.56206185567010303</v>
      </c>
      <c r="AF113" s="563">
        <f t="shared" si="208"/>
        <v>40.491309737647697</v>
      </c>
      <c r="AG113" s="546">
        <f t="shared" si="209"/>
        <v>2.8524639175257726E-2</v>
      </c>
      <c r="AI113" s="179">
        <f t="shared" si="210"/>
        <v>9.8638143142877402E-2</v>
      </c>
      <c r="AJ113" s="179">
        <f t="shared" si="211"/>
        <v>0.28999999999999998</v>
      </c>
      <c r="AK113" s="179">
        <f t="shared" si="212"/>
        <v>1.0231378912786557</v>
      </c>
      <c r="AM113" s="563">
        <f t="shared" si="213"/>
        <v>3.3</v>
      </c>
      <c r="AN113" s="472">
        <f t="shared" si="214"/>
        <v>40.491309737647697</v>
      </c>
      <c r="AP113" s="472">
        <f t="shared" si="215"/>
        <v>3.3</v>
      </c>
      <c r="AQ113" s="472">
        <f t="shared" si="216"/>
        <v>40.491309737647697</v>
      </c>
      <c r="AS113" s="6">
        <f t="shared" si="164"/>
        <v>24.696657294595433</v>
      </c>
      <c r="AT113" s="6">
        <f t="shared" si="217"/>
        <v>1.363</v>
      </c>
      <c r="AU113" s="6">
        <f t="shared" si="218"/>
        <v>23.333657294595433</v>
      </c>
      <c r="AV113" s="6"/>
      <c r="AW113" s="179">
        <f t="shared" si="219"/>
        <v>5.518965517241381E-2</v>
      </c>
      <c r="AX113" s="179">
        <f t="shared" si="142"/>
        <v>8.0025000000000027E-2</v>
      </c>
      <c r="AY113" s="179">
        <f t="shared" si="143"/>
        <v>0.13699749999999999</v>
      </c>
      <c r="AZ113" s="179">
        <f t="shared" si="167"/>
        <v>0.58413474698443424</v>
      </c>
      <c r="BD113" s="179">
        <f t="shared" si="168"/>
        <v>3.933382768050931E-2</v>
      </c>
      <c r="BE113" s="179">
        <f t="shared" si="146"/>
        <v>0.16274576287367154</v>
      </c>
      <c r="BG113" s="546">
        <f t="shared" si="220"/>
        <v>5.4150250000000008E-4</v>
      </c>
      <c r="BH113" s="546">
        <f t="shared" si="221"/>
        <v>3.0163495047688922E-3</v>
      </c>
      <c r="BI113" s="546">
        <f t="shared" si="222"/>
        <v>5.0614137172059614E-4</v>
      </c>
      <c r="BJ113" s="546">
        <f t="shared" si="223"/>
        <v>2.3749418514559676E-3</v>
      </c>
      <c r="BK113">
        <f t="shared" si="224"/>
        <v>2.8999999999999998E-3</v>
      </c>
      <c r="BM113" s="472">
        <f t="shared" si="225"/>
        <v>9.3389352279454556</v>
      </c>
      <c r="BN113" s="546">
        <f t="shared" si="226"/>
        <v>9.8999999999999999E-4</v>
      </c>
      <c r="BQ113" s="472">
        <f t="shared" si="227"/>
        <v>0.99</v>
      </c>
      <c r="BR113" s="546">
        <f t="shared" si="228"/>
        <v>3.0943000000000008E-4</v>
      </c>
      <c r="BS113" s="546">
        <f t="shared" si="229"/>
        <v>5.2972366666666658E-3</v>
      </c>
      <c r="BT113" s="546">
        <f t="shared" si="230"/>
        <v>2.3624877264540514E-5</v>
      </c>
      <c r="BU113" s="546"/>
      <c r="BV113" s="546">
        <f t="shared" si="231"/>
        <v>6.2998404255319176E-4</v>
      </c>
      <c r="BW113" s="472">
        <f t="shared" si="232"/>
        <v>6.2602755864843989</v>
      </c>
      <c r="BX113" s="179">
        <f t="shared" si="233"/>
        <v>1.6589210814429853E-2</v>
      </c>
      <c r="BY113" s="6">
        <f t="shared" si="234"/>
        <v>7.9199999999999993E-2</v>
      </c>
      <c r="BZ113" s="179">
        <f t="shared" si="235"/>
        <v>0.82681545579733684</v>
      </c>
      <c r="CA113" s="6">
        <f t="shared" si="236"/>
        <v>82.68154557973368</v>
      </c>
      <c r="CD113" s="581">
        <f t="shared" si="237"/>
        <v>-50</v>
      </c>
      <c r="CE113">
        <f t="shared" si="238"/>
        <v>-50</v>
      </c>
    </row>
    <row r="114" spans="5:83" x14ac:dyDescent="0.2">
      <c r="E114" s="176">
        <v>4</v>
      </c>
      <c r="F114" s="223">
        <f t="shared" si="239"/>
        <v>4.4000000000000003E-3</v>
      </c>
      <c r="G114" s="223"/>
      <c r="H114" s="223">
        <f t="shared" si="190"/>
        <v>0.1056</v>
      </c>
      <c r="I114" s="559">
        <f t="shared" si="191"/>
        <v>10</v>
      </c>
      <c r="J114" s="454">
        <f t="shared" si="192"/>
        <v>24.25</v>
      </c>
      <c r="K114" s="454">
        <f t="shared" si="193"/>
        <v>34.25</v>
      </c>
      <c r="L114" s="454"/>
      <c r="M114" s="223">
        <f t="shared" si="194"/>
        <v>0.70802919708029199</v>
      </c>
      <c r="N114" s="178">
        <f t="shared" si="240"/>
        <v>4.8765510948905106</v>
      </c>
      <c r="O114" s="178">
        <f t="shared" si="162"/>
        <v>0.1056</v>
      </c>
      <c r="P114" s="223">
        <f t="shared" si="195"/>
        <v>0.20318962895377127</v>
      </c>
      <c r="Q114" s="223">
        <f t="shared" si="196"/>
        <v>24</v>
      </c>
      <c r="R114" s="223"/>
      <c r="S114" s="178">
        <f t="shared" si="197"/>
        <v>1555.3425161955806</v>
      </c>
      <c r="T114" s="178">
        <f t="shared" si="198"/>
        <v>24</v>
      </c>
      <c r="U114" s="223">
        <f t="shared" si="199"/>
        <v>3.1399240368963646E-2</v>
      </c>
      <c r="V114" s="223">
        <f t="shared" si="200"/>
        <v>0.14757642973412913</v>
      </c>
      <c r="W114" s="223">
        <f t="shared" si="201"/>
        <v>6.0856259684176968E-2</v>
      </c>
      <c r="X114" s="203">
        <f t="shared" si="202"/>
        <v>350</v>
      </c>
      <c r="Y114" s="454">
        <f t="shared" si="203"/>
        <v>350</v>
      </c>
      <c r="AA114" s="223">
        <f t="shared" si="204"/>
        <v>0.43041288576309544</v>
      </c>
      <c r="AB114" s="179">
        <f t="shared" si="205"/>
        <v>0.83420229405630864</v>
      </c>
      <c r="AC114" s="179">
        <f t="shared" si="206"/>
        <v>6.2833997921619769E-2</v>
      </c>
      <c r="AD114" s="179"/>
      <c r="AE114" s="179">
        <f t="shared" si="207"/>
        <v>0.56206185567010303</v>
      </c>
      <c r="AF114" s="563">
        <f t="shared" si="208"/>
        <v>53.98841298353026</v>
      </c>
      <c r="AG114" s="546">
        <f t="shared" si="209"/>
        <v>2.8524639175257726E-2</v>
      </c>
      <c r="AI114" s="179">
        <f t="shared" si="210"/>
        <v>0.11389751699181022</v>
      </c>
      <c r="AJ114" s="179">
        <f t="shared" si="211"/>
        <v>0.28999999999999998</v>
      </c>
      <c r="AK114" s="179">
        <f t="shared" si="212"/>
        <v>1.0308505217048745</v>
      </c>
      <c r="AM114" s="563">
        <f t="shared" si="213"/>
        <v>4.4000000000000004</v>
      </c>
      <c r="AN114" s="472">
        <f t="shared" si="214"/>
        <v>53.98841298353026</v>
      </c>
      <c r="AP114" s="472">
        <f t="shared" si="215"/>
        <v>4.4000000000000004</v>
      </c>
      <c r="AQ114" s="472">
        <f t="shared" si="216"/>
        <v>53.98841298353026</v>
      </c>
      <c r="AS114" s="6">
        <f t="shared" si="164"/>
        <v>18.522492970946576</v>
      </c>
      <c r="AT114" s="6">
        <f t="shared" si="217"/>
        <v>1.363</v>
      </c>
      <c r="AU114" s="6">
        <f t="shared" si="218"/>
        <v>17.159492970946577</v>
      </c>
      <c r="AV114" s="6"/>
      <c r="AW114" s="179">
        <f t="shared" si="219"/>
        <v>7.3586206896551737E-2</v>
      </c>
      <c r="AX114" s="179">
        <f t="shared" si="142"/>
        <v>0.10670000000000002</v>
      </c>
      <c r="AY114" s="179">
        <f t="shared" si="143"/>
        <v>0.13433</v>
      </c>
      <c r="AZ114" s="179">
        <f t="shared" si="167"/>
        <v>0.79431251395816282</v>
      </c>
      <c r="BD114" s="179">
        <f t="shared" si="168"/>
        <v>4.5418791999200799E-2</v>
      </c>
      <c r="BE114" s="179">
        <f t="shared" si="146"/>
        <v>0.16115354996607015</v>
      </c>
      <c r="BG114" s="546">
        <f t="shared" si="220"/>
        <v>7.2200333333333319E-4</v>
      </c>
      <c r="BH114" s="546">
        <f t="shared" si="221"/>
        <v>4.0217993396918566E-3</v>
      </c>
      <c r="BI114" s="546">
        <f t="shared" si="222"/>
        <v>6.7485516229412825E-4</v>
      </c>
      <c r="BJ114" s="546">
        <f t="shared" si="223"/>
        <v>3.1665891352746231E-3</v>
      </c>
      <c r="BK114">
        <f t="shared" si="224"/>
        <v>2.8999999999999998E-3</v>
      </c>
      <c r="BM114" s="472">
        <f t="shared" si="225"/>
        <v>11.48524697059394</v>
      </c>
      <c r="BN114" s="546">
        <f t="shared" si="226"/>
        <v>1.32E-3</v>
      </c>
      <c r="BQ114" s="472">
        <f t="shared" si="227"/>
        <v>1.32</v>
      </c>
      <c r="BR114" s="546">
        <f t="shared" si="228"/>
        <v>4.1257333333333328E-4</v>
      </c>
      <c r="BS114" s="546">
        <f t="shared" si="229"/>
        <v>5.1940933333333335E-3</v>
      </c>
      <c r="BT114" s="546">
        <f t="shared" si="230"/>
        <v>4.8497170660459824E-5</v>
      </c>
      <c r="BU114" s="546"/>
      <c r="BV114" s="546">
        <f t="shared" si="231"/>
        <v>8.3997872340425557E-4</v>
      </c>
      <c r="BW114" s="472">
        <f t="shared" si="232"/>
        <v>6.4951425607313817</v>
      </c>
      <c r="BX114" s="179">
        <f t="shared" si="233"/>
        <v>1.9300389531325322E-2</v>
      </c>
      <c r="BY114" s="6">
        <f t="shared" si="234"/>
        <v>0.1056</v>
      </c>
      <c r="BZ114" s="179">
        <f t="shared" si="235"/>
        <v>0.84547374428736477</v>
      </c>
      <c r="CA114" s="6">
        <f t="shared" si="236"/>
        <v>84.547374428736475</v>
      </c>
      <c r="CD114" s="581">
        <f t="shared" si="237"/>
        <v>-50</v>
      </c>
      <c r="CE114">
        <f t="shared" si="238"/>
        <v>-50</v>
      </c>
    </row>
    <row r="115" spans="5:83" x14ac:dyDescent="0.2">
      <c r="E115" s="176">
        <v>5</v>
      </c>
      <c r="F115" s="223">
        <f t="shared" si="239"/>
        <v>5.5000000000000005E-3</v>
      </c>
      <c r="G115" s="223"/>
      <c r="H115" s="223">
        <f t="shared" si="190"/>
        <v>0.13200000000000001</v>
      </c>
      <c r="I115" s="559">
        <f t="shared" si="191"/>
        <v>10</v>
      </c>
      <c r="J115" s="454">
        <f t="shared" si="192"/>
        <v>24.25</v>
      </c>
      <c r="K115" s="454">
        <f t="shared" si="193"/>
        <v>34.25</v>
      </c>
      <c r="L115" s="454"/>
      <c r="M115" s="223">
        <f t="shared" si="194"/>
        <v>0.70802919708029199</v>
      </c>
      <c r="N115" s="178">
        <f t="shared" si="240"/>
        <v>4.8765510948905106</v>
      </c>
      <c r="O115" s="178">
        <f t="shared" si="162"/>
        <v>0.13200000000000001</v>
      </c>
      <c r="P115" s="223">
        <f t="shared" si="195"/>
        <v>0.20318962895377127</v>
      </c>
      <c r="Q115" s="223">
        <f t="shared" si="196"/>
        <v>24</v>
      </c>
      <c r="R115" s="223"/>
      <c r="S115" s="178">
        <f t="shared" si="197"/>
        <v>1242.2747393051002</v>
      </c>
      <c r="T115" s="178">
        <f t="shared" si="198"/>
        <v>24</v>
      </c>
      <c r="U115" s="223">
        <f t="shared" si="199"/>
        <v>3.9249050461204561E-2</v>
      </c>
      <c r="V115" s="223">
        <f t="shared" si="200"/>
        <v>0.18447053716766143</v>
      </c>
      <c r="W115" s="223">
        <f t="shared" si="201"/>
        <v>7.6070324605221215E-2</v>
      </c>
      <c r="X115" s="203">
        <f t="shared" si="202"/>
        <v>350</v>
      </c>
      <c r="Y115" s="454">
        <f t="shared" si="203"/>
        <v>350</v>
      </c>
      <c r="AA115" s="223">
        <f t="shared" si="204"/>
        <v>0.43041288576309544</v>
      </c>
      <c r="AB115" s="179">
        <f t="shared" si="205"/>
        <v>0.83420229405630864</v>
      </c>
      <c r="AC115" s="179">
        <f t="shared" si="206"/>
        <v>6.2833997921619769E-2</v>
      </c>
      <c r="AD115" s="179"/>
      <c r="AE115" s="179">
        <f t="shared" si="207"/>
        <v>0.56206185567010303</v>
      </c>
      <c r="AF115" s="563">
        <f t="shared" si="208"/>
        <v>67.485516229412823</v>
      </c>
      <c r="AG115" s="546">
        <f t="shared" si="209"/>
        <v>2.8524639175257726E-2</v>
      </c>
      <c r="AI115" s="179">
        <f t="shared" si="210"/>
        <v>0.12734129523106252</v>
      </c>
      <c r="AJ115" s="179">
        <f t="shared" si="211"/>
        <v>0.28999999999999998</v>
      </c>
      <c r="AK115" s="179">
        <f t="shared" si="212"/>
        <v>1.038563152131093</v>
      </c>
      <c r="AM115" s="563">
        <f t="shared" si="213"/>
        <v>5.5000000000000009</v>
      </c>
      <c r="AN115" s="472">
        <f t="shared" si="214"/>
        <v>67.485516229412823</v>
      </c>
      <c r="AP115" s="472">
        <f t="shared" si="215"/>
        <v>5.5000000000000009</v>
      </c>
      <c r="AQ115" s="472">
        <f t="shared" si="216"/>
        <v>67.485516229412823</v>
      </c>
      <c r="AS115" s="6">
        <f t="shared" si="164"/>
        <v>14.817994376757261</v>
      </c>
      <c r="AT115" s="6">
        <f t="shared" si="217"/>
        <v>1.363</v>
      </c>
      <c r="AU115" s="6">
        <f t="shared" si="218"/>
        <v>13.454994376757261</v>
      </c>
      <c r="AV115" s="6"/>
      <c r="AW115" s="179">
        <f t="shared" si="219"/>
        <v>9.1982758620689678E-2</v>
      </c>
      <c r="AX115" s="179">
        <f t="shared" si="142"/>
        <v>0.13337499999999999</v>
      </c>
      <c r="AY115" s="179">
        <f t="shared" si="143"/>
        <v>0.13166249999999999</v>
      </c>
      <c r="AZ115" s="179">
        <f t="shared" si="167"/>
        <v>1.013006740719643</v>
      </c>
      <c r="BD115" s="179">
        <f t="shared" si="168"/>
        <v>5.077975318306828E-2</v>
      </c>
      <c r="BE115" s="179">
        <f t="shared" si="146"/>
        <v>0.15954544807044793</v>
      </c>
      <c r="BG115" s="546">
        <f t="shared" si="220"/>
        <v>9.0250416666666641E-4</v>
      </c>
      <c r="BH115" s="546">
        <f t="shared" si="221"/>
        <v>5.027249174614821E-3</v>
      </c>
      <c r="BI115" s="546">
        <f t="shared" si="222"/>
        <v>8.4356895286766026E-4</v>
      </c>
      <c r="BJ115" s="546">
        <f t="shared" si="223"/>
        <v>3.9582364190932796E-3</v>
      </c>
      <c r="BK115">
        <f t="shared" si="224"/>
        <v>2.8999999999999998E-3</v>
      </c>
      <c r="BM115" s="472">
        <f t="shared" si="225"/>
        <v>13.631558713242427</v>
      </c>
      <c r="BN115" s="546">
        <f t="shared" si="226"/>
        <v>1.6500000000000002E-3</v>
      </c>
      <c r="BQ115" s="472">
        <f t="shared" si="227"/>
        <v>1.6500000000000001</v>
      </c>
      <c r="BR115" s="546">
        <f t="shared" si="228"/>
        <v>5.1571666666666658E-4</v>
      </c>
      <c r="BS115" s="546">
        <f t="shared" si="229"/>
        <v>5.0909500000000003E-3</v>
      </c>
      <c r="BT115" s="546">
        <f t="shared" si="230"/>
        <v>8.4721070557184746E-5</v>
      </c>
      <c r="BU115" s="546"/>
      <c r="BV115" s="546">
        <f t="shared" si="231"/>
        <v>1.0499734042553194E-3</v>
      </c>
      <c r="BW115" s="472">
        <f t="shared" si="232"/>
        <v>6.741361141479171</v>
      </c>
      <c r="BX115" s="179">
        <f t="shared" si="233"/>
        <v>2.2022919854721597E-2</v>
      </c>
      <c r="BY115" s="6">
        <f t="shared" si="234"/>
        <v>0.13200000000000001</v>
      </c>
      <c r="BZ115" s="179">
        <f t="shared" si="235"/>
        <v>0.85701530736143561</v>
      </c>
      <c r="CA115" s="6">
        <f t="shared" si="236"/>
        <v>85.701530736143567</v>
      </c>
      <c r="CD115" s="581">
        <f t="shared" si="237"/>
        <v>-50</v>
      </c>
      <c r="CE115">
        <f t="shared" si="238"/>
        <v>-50</v>
      </c>
    </row>
    <row r="116" spans="5:83" x14ac:dyDescent="0.2">
      <c r="E116" s="176">
        <v>6</v>
      </c>
      <c r="F116" s="223">
        <f t="shared" si="239"/>
        <v>6.6E-3</v>
      </c>
      <c r="G116" s="223"/>
      <c r="H116" s="223">
        <f t="shared" si="190"/>
        <v>0.15839999999999999</v>
      </c>
      <c r="I116" s="559">
        <f t="shared" si="191"/>
        <v>10</v>
      </c>
      <c r="J116" s="454">
        <f t="shared" si="192"/>
        <v>24.25</v>
      </c>
      <c r="K116" s="454">
        <f t="shared" si="193"/>
        <v>34.25</v>
      </c>
      <c r="L116" s="454"/>
      <c r="M116" s="223">
        <f t="shared" si="194"/>
        <v>0.70802919708029199</v>
      </c>
      <c r="N116" s="178">
        <f t="shared" si="240"/>
        <v>4.8765510948905106</v>
      </c>
      <c r="O116" s="178">
        <f t="shared" si="162"/>
        <v>0.15839999999999999</v>
      </c>
      <c r="P116" s="223">
        <f t="shared" si="195"/>
        <v>0.20318962895377127</v>
      </c>
      <c r="Q116" s="223">
        <f t="shared" si="196"/>
        <v>24</v>
      </c>
      <c r="R116" s="223"/>
      <c r="S116" s="178">
        <f t="shared" si="197"/>
        <v>1033.5630242928603</v>
      </c>
      <c r="T116" s="178">
        <f t="shared" si="198"/>
        <v>24</v>
      </c>
      <c r="U116" s="223">
        <f t="shared" si="199"/>
        <v>4.7098860553445462E-2</v>
      </c>
      <c r="V116" s="223">
        <f t="shared" si="200"/>
        <v>0.22136464460119368</v>
      </c>
      <c r="W116" s="223">
        <f t="shared" si="201"/>
        <v>9.1284389526265441E-2</v>
      </c>
      <c r="X116" s="203">
        <f t="shared" si="202"/>
        <v>350</v>
      </c>
      <c r="Y116" s="454">
        <f t="shared" si="203"/>
        <v>350</v>
      </c>
      <c r="AA116" s="223">
        <f t="shared" si="204"/>
        <v>0.43041288576309544</v>
      </c>
      <c r="AB116" s="179">
        <f t="shared" si="205"/>
        <v>0.83420229405630864</v>
      </c>
      <c r="AC116" s="179">
        <f t="shared" si="206"/>
        <v>6.2833997921619769E-2</v>
      </c>
      <c r="AD116" s="179"/>
      <c r="AE116" s="179">
        <f t="shared" si="207"/>
        <v>0.56206185567010303</v>
      </c>
      <c r="AF116" s="563">
        <f t="shared" si="208"/>
        <v>80.982619475295394</v>
      </c>
      <c r="AG116" s="546">
        <f t="shared" si="209"/>
        <v>2.8524639175257726E-2</v>
      </c>
      <c r="AI116" s="179">
        <f t="shared" si="210"/>
        <v>0.13949539979995593</v>
      </c>
      <c r="AJ116" s="179">
        <f t="shared" si="211"/>
        <v>0.28999999999999998</v>
      </c>
      <c r="AK116" s="179">
        <f t="shared" si="212"/>
        <v>1.0462757825573117</v>
      </c>
      <c r="AM116" s="563">
        <f t="shared" si="213"/>
        <v>6.6</v>
      </c>
      <c r="AN116" s="472">
        <f t="shared" si="214"/>
        <v>80.982619475295394</v>
      </c>
      <c r="AP116" s="472">
        <f t="shared" si="215"/>
        <v>6.6</v>
      </c>
      <c r="AQ116" s="472">
        <f t="shared" si="216"/>
        <v>80.982619475295394</v>
      </c>
      <c r="AS116" s="6">
        <f t="shared" si="164"/>
        <v>12.348328647297716</v>
      </c>
      <c r="AT116" s="6">
        <f t="shared" si="217"/>
        <v>1.363</v>
      </c>
      <c r="AU116" s="6">
        <f t="shared" si="218"/>
        <v>10.985328647297717</v>
      </c>
      <c r="AV116" s="6"/>
      <c r="AW116" s="179">
        <f t="shared" si="219"/>
        <v>0.11037931034482762</v>
      </c>
      <c r="AX116" s="179">
        <f t="shared" si="142"/>
        <v>0.16005000000000005</v>
      </c>
      <c r="AY116" s="179">
        <f t="shared" si="143"/>
        <v>0.128995</v>
      </c>
      <c r="AZ116" s="179">
        <f t="shared" si="167"/>
        <v>1.2407457653397422</v>
      </c>
      <c r="BD116" s="179">
        <f t="shared" si="168"/>
        <v>5.5626432565822524E-2</v>
      </c>
      <c r="BE116" s="179">
        <f t="shared" si="146"/>
        <v>0.15792097179707743</v>
      </c>
      <c r="BG116" s="546">
        <f t="shared" si="220"/>
        <v>1.0830050000000002E-3</v>
      </c>
      <c r="BH116" s="546">
        <f t="shared" si="221"/>
        <v>6.0326990095377845E-3</v>
      </c>
      <c r="BI116" s="546">
        <f t="shared" si="222"/>
        <v>1.0122827434411923E-3</v>
      </c>
      <c r="BJ116" s="546">
        <f t="shared" si="223"/>
        <v>4.7498837029119351E-3</v>
      </c>
      <c r="BK116">
        <f t="shared" si="224"/>
        <v>2.8999999999999998E-3</v>
      </c>
      <c r="BM116" s="472">
        <f t="shared" si="225"/>
        <v>15.777870455890911</v>
      </c>
      <c r="BN116" s="546">
        <f t="shared" si="226"/>
        <v>1.98E-3</v>
      </c>
      <c r="BQ116" s="472">
        <f t="shared" si="227"/>
        <v>1.98</v>
      </c>
      <c r="BR116" s="546">
        <f t="shared" si="228"/>
        <v>6.1886000000000016E-4</v>
      </c>
      <c r="BS116" s="546">
        <f t="shared" si="229"/>
        <v>4.9878066666666646E-3</v>
      </c>
      <c r="BT116" s="546">
        <f t="shared" si="230"/>
        <v>1.3364248734765182E-4</v>
      </c>
      <c r="BU116" s="546"/>
      <c r="BV116" s="546">
        <f t="shared" si="231"/>
        <v>1.2599680851063835E-3</v>
      </c>
      <c r="BW116" s="472">
        <f t="shared" si="232"/>
        <v>7.0002772391206998</v>
      </c>
      <c r="BX116" s="179">
        <f t="shared" si="233"/>
        <v>2.4758147695011608E-2</v>
      </c>
      <c r="BY116" s="6">
        <f t="shared" si="234"/>
        <v>0.15839999999999999</v>
      </c>
      <c r="BZ116" s="179">
        <f t="shared" si="235"/>
        <v>0.86482639180082777</v>
      </c>
      <c r="CA116" s="6">
        <f t="shared" si="236"/>
        <v>86.482639180082771</v>
      </c>
      <c r="CD116" s="581">
        <f t="shared" si="237"/>
        <v>-50</v>
      </c>
      <c r="CE116">
        <f t="shared" si="238"/>
        <v>-50</v>
      </c>
    </row>
    <row r="117" spans="5:83" x14ac:dyDescent="0.2">
      <c r="E117" s="176">
        <v>7</v>
      </c>
      <c r="F117" s="223">
        <f t="shared" si="239"/>
        <v>7.7000000000000011E-3</v>
      </c>
      <c r="G117" s="223"/>
      <c r="H117" s="223">
        <f t="shared" si="190"/>
        <v>0.18480000000000002</v>
      </c>
      <c r="I117" s="559">
        <f t="shared" si="191"/>
        <v>10</v>
      </c>
      <c r="J117" s="454">
        <f t="shared" si="192"/>
        <v>24.25</v>
      </c>
      <c r="K117" s="454">
        <f t="shared" si="193"/>
        <v>34.25</v>
      </c>
      <c r="L117" s="454"/>
      <c r="M117" s="223">
        <f t="shared" si="194"/>
        <v>0.70802919708029199</v>
      </c>
      <c r="N117" s="178">
        <f t="shared" si="240"/>
        <v>4.8765510948905106</v>
      </c>
      <c r="O117" s="178">
        <f t="shared" si="162"/>
        <v>0.18480000000000002</v>
      </c>
      <c r="P117" s="223">
        <f t="shared" si="195"/>
        <v>0.20318962895377127</v>
      </c>
      <c r="Q117" s="223">
        <f t="shared" si="196"/>
        <v>24</v>
      </c>
      <c r="R117" s="223"/>
      <c r="S117" s="178">
        <f t="shared" si="197"/>
        <v>884.48334519067669</v>
      </c>
      <c r="T117" s="178">
        <f t="shared" si="198"/>
        <v>24</v>
      </c>
      <c r="U117" s="223">
        <f t="shared" si="199"/>
        <v>5.4948670645686384E-2</v>
      </c>
      <c r="V117" s="223">
        <f t="shared" si="200"/>
        <v>0.25825875203472598</v>
      </c>
      <c r="W117" s="223">
        <f t="shared" si="201"/>
        <v>0.1064984544473097</v>
      </c>
      <c r="X117" s="203">
        <f t="shared" si="202"/>
        <v>350</v>
      </c>
      <c r="Y117" s="454">
        <f t="shared" si="203"/>
        <v>350</v>
      </c>
      <c r="AA117" s="223">
        <f t="shared" si="204"/>
        <v>0.43041288576309544</v>
      </c>
      <c r="AB117" s="179">
        <f t="shared" si="205"/>
        <v>0.83420229405630864</v>
      </c>
      <c r="AC117" s="179">
        <f t="shared" si="206"/>
        <v>6.2833997921619769E-2</v>
      </c>
      <c r="AD117" s="179"/>
      <c r="AE117" s="179">
        <f t="shared" si="207"/>
        <v>0.56206185567010303</v>
      </c>
      <c r="AF117" s="563">
        <f t="shared" si="208"/>
        <v>94.479722721177964</v>
      </c>
      <c r="AG117" s="546">
        <f t="shared" si="209"/>
        <v>2.8524639175257726E-2</v>
      </c>
      <c r="AI117" s="179">
        <f t="shared" si="210"/>
        <v>0.1506722524540417</v>
      </c>
      <c r="AJ117" s="179">
        <f t="shared" si="211"/>
        <v>0.28999999999999998</v>
      </c>
      <c r="AK117" s="179">
        <f t="shared" si="212"/>
        <v>1.0539884129835302</v>
      </c>
      <c r="AM117" s="563">
        <f t="shared" si="213"/>
        <v>7.7000000000000011</v>
      </c>
      <c r="AN117" s="472">
        <f t="shared" si="214"/>
        <v>94.479722721177964</v>
      </c>
      <c r="AP117" s="472">
        <f t="shared" si="215"/>
        <v>7.7000000000000011</v>
      </c>
      <c r="AQ117" s="472">
        <f t="shared" si="216"/>
        <v>94.479722721177964</v>
      </c>
      <c r="AS117" s="6">
        <f t="shared" si="164"/>
        <v>10.584281697683755</v>
      </c>
      <c r="AT117" s="6">
        <f t="shared" si="217"/>
        <v>1.363</v>
      </c>
      <c r="AU117" s="6">
        <f t="shared" si="218"/>
        <v>9.2212816976837555</v>
      </c>
      <c r="AV117" s="6"/>
      <c r="AW117" s="179">
        <f t="shared" si="219"/>
        <v>0.12877586206896557</v>
      </c>
      <c r="AX117" s="179">
        <f t="shared" si="142"/>
        <v>0.18672500000000006</v>
      </c>
      <c r="AY117" s="179">
        <f t="shared" si="143"/>
        <v>0.12632749999999998</v>
      </c>
      <c r="AZ117" s="179">
        <f t="shared" si="167"/>
        <v>1.4781025509093435</v>
      </c>
      <c r="BD117" s="179">
        <f t="shared" si="168"/>
        <v>6.0083414239427736E-2</v>
      </c>
      <c r="BE117" s="179">
        <f t="shared" si="146"/>
        <v>0.15627961052762662</v>
      </c>
      <c r="BG117" s="546">
        <f t="shared" si="220"/>
        <v>1.2635058333333336E-3</v>
      </c>
      <c r="BH117" s="546">
        <f t="shared" si="221"/>
        <v>7.0381488444607497E-3</v>
      </c>
      <c r="BI117" s="546">
        <f t="shared" si="222"/>
        <v>1.1809965340147245E-3</v>
      </c>
      <c r="BJ117" s="546">
        <f t="shared" si="223"/>
        <v>5.5415309867305907E-3</v>
      </c>
      <c r="BK117">
        <f t="shared" si="224"/>
        <v>2.8999999999999998E-3</v>
      </c>
      <c r="BM117" s="472">
        <f t="shared" si="225"/>
        <v>17.924182198539398</v>
      </c>
      <c r="BN117" s="546">
        <f t="shared" si="226"/>
        <v>2.3100000000000004E-3</v>
      </c>
      <c r="BQ117" s="472">
        <f t="shared" si="227"/>
        <v>2.3100000000000005</v>
      </c>
      <c r="BR117" s="546">
        <f t="shared" si="228"/>
        <v>7.2200333333333362E-4</v>
      </c>
      <c r="BS117" s="546">
        <f t="shared" si="229"/>
        <v>4.8846633333333341E-3</v>
      </c>
      <c r="BT117" s="546">
        <f t="shared" si="230"/>
        <v>1.9647691218855964E-4</v>
      </c>
      <c r="BU117" s="546"/>
      <c r="BV117" s="546">
        <f t="shared" si="231"/>
        <v>1.4699627659574474E-3</v>
      </c>
      <c r="BW117" s="472">
        <f t="shared" si="232"/>
        <v>7.2731063448126756</v>
      </c>
      <c r="BX117" s="179">
        <f t="shared" si="233"/>
        <v>2.7507288543352069E-2</v>
      </c>
      <c r="BY117" s="6">
        <f t="shared" si="234"/>
        <v>0.18480000000000002</v>
      </c>
      <c r="BZ117" s="179">
        <f t="shared" si="235"/>
        <v>0.87043643799475479</v>
      </c>
      <c r="CA117" s="6">
        <f t="shared" si="236"/>
        <v>87.043643799475475</v>
      </c>
      <c r="CD117" s="581">
        <f t="shared" si="237"/>
        <v>-50</v>
      </c>
      <c r="CE117">
        <f t="shared" si="238"/>
        <v>-50</v>
      </c>
    </row>
    <row r="118" spans="5:83" x14ac:dyDescent="0.2">
      <c r="E118" s="176">
        <v>8</v>
      </c>
      <c r="F118" s="223">
        <f t="shared" si="239"/>
        <v>8.8000000000000005E-3</v>
      </c>
      <c r="G118" s="223"/>
      <c r="H118" s="223">
        <f t="shared" si="190"/>
        <v>0.2112</v>
      </c>
      <c r="I118" s="559">
        <f t="shared" si="191"/>
        <v>10</v>
      </c>
      <c r="J118" s="454">
        <f t="shared" si="192"/>
        <v>24.25</v>
      </c>
      <c r="K118" s="454">
        <f t="shared" si="193"/>
        <v>34.25</v>
      </c>
      <c r="L118" s="454"/>
      <c r="M118" s="223">
        <f t="shared" si="194"/>
        <v>0.70802919708029199</v>
      </c>
      <c r="N118" s="178">
        <f t="shared" si="240"/>
        <v>4.8765510948905106</v>
      </c>
      <c r="O118" s="178">
        <f t="shared" si="162"/>
        <v>0.2112</v>
      </c>
      <c r="P118" s="223">
        <f t="shared" si="195"/>
        <v>0.20318962895377127</v>
      </c>
      <c r="Q118" s="223">
        <f t="shared" si="196"/>
        <v>24</v>
      </c>
      <c r="R118" s="223"/>
      <c r="S118" s="178">
        <f t="shared" si="197"/>
        <v>772.67368901741531</v>
      </c>
      <c r="T118" s="178">
        <f t="shared" si="198"/>
        <v>24</v>
      </c>
      <c r="U118" s="223">
        <f t="shared" si="199"/>
        <v>6.2798480737927292E-2</v>
      </c>
      <c r="V118" s="223">
        <f t="shared" si="200"/>
        <v>0.29515285946825826</v>
      </c>
      <c r="W118" s="223">
        <f t="shared" si="201"/>
        <v>0.12171251936835394</v>
      </c>
      <c r="X118" s="203">
        <f t="shared" si="202"/>
        <v>350</v>
      </c>
      <c r="Y118" s="454">
        <f t="shared" si="203"/>
        <v>350</v>
      </c>
      <c r="AA118" s="223">
        <f t="shared" si="204"/>
        <v>0.43041288576309544</v>
      </c>
      <c r="AB118" s="179">
        <f t="shared" si="205"/>
        <v>0.83420229405630864</v>
      </c>
      <c r="AC118" s="179">
        <f t="shared" si="206"/>
        <v>6.2833997921619769E-2</v>
      </c>
      <c r="AD118" s="179"/>
      <c r="AE118" s="179">
        <f t="shared" si="207"/>
        <v>0.56206185567010303</v>
      </c>
      <c r="AF118" s="563">
        <f t="shared" si="208"/>
        <v>107.97682596706052</v>
      </c>
      <c r="AG118" s="546">
        <f t="shared" si="209"/>
        <v>2.8524639175257726E-2</v>
      </c>
      <c r="AI118" s="179">
        <f t="shared" si="210"/>
        <v>0.16107541325043806</v>
      </c>
      <c r="AJ118" s="179">
        <f t="shared" si="211"/>
        <v>0.28999999999999998</v>
      </c>
      <c r="AK118" s="179">
        <f t="shared" si="212"/>
        <v>1.0617010434097489</v>
      </c>
      <c r="AM118" s="563">
        <f t="shared" si="213"/>
        <v>8.8000000000000007</v>
      </c>
      <c r="AN118" s="472">
        <f t="shared" si="214"/>
        <v>107.97682596706052</v>
      </c>
      <c r="AP118" s="472">
        <f t="shared" si="215"/>
        <v>8.8000000000000007</v>
      </c>
      <c r="AQ118" s="472">
        <f t="shared" si="216"/>
        <v>107.97682596706052</v>
      </c>
      <c r="AS118" s="6">
        <f t="shared" si="164"/>
        <v>9.2612464854732881</v>
      </c>
      <c r="AT118" s="6">
        <f t="shared" si="217"/>
        <v>1.363</v>
      </c>
      <c r="AU118" s="6">
        <f t="shared" si="218"/>
        <v>7.8982464854732886</v>
      </c>
      <c r="AV118" s="6"/>
      <c r="AW118" s="179">
        <f t="shared" si="219"/>
        <v>0.14717241379310347</v>
      </c>
      <c r="AX118" s="179">
        <f t="shared" si="142"/>
        <v>0.21340000000000003</v>
      </c>
      <c r="AY118" s="179">
        <f t="shared" si="143"/>
        <v>0.12365999999999999</v>
      </c>
      <c r="AZ118" s="179">
        <f t="shared" si="167"/>
        <v>1.7256994986252632</v>
      </c>
      <c r="BD118" s="179">
        <f t="shared" si="168"/>
        <v>6.4231871631872384E-2</v>
      </c>
      <c r="BE118" s="179">
        <f t="shared" si="146"/>
        <v>0.15462082654028209</v>
      </c>
      <c r="BG118" s="546">
        <f t="shared" si="220"/>
        <v>1.4440066666666664E-3</v>
      </c>
      <c r="BH118" s="546">
        <f t="shared" si="221"/>
        <v>8.0435986793837132E-3</v>
      </c>
      <c r="BI118" s="546">
        <f t="shared" si="222"/>
        <v>1.3497103245882565E-3</v>
      </c>
      <c r="BJ118" s="546">
        <f t="shared" si="223"/>
        <v>6.3331782705492463E-3</v>
      </c>
      <c r="BK118">
        <f t="shared" si="224"/>
        <v>2.8999999999999998E-3</v>
      </c>
      <c r="BM118" s="472">
        <f t="shared" si="225"/>
        <v>20.07049394118788</v>
      </c>
      <c r="BN118" s="546">
        <f t="shared" si="226"/>
        <v>2.64E-3</v>
      </c>
      <c r="BQ118" s="472">
        <f t="shared" si="227"/>
        <v>2.64</v>
      </c>
      <c r="BR118" s="546">
        <f t="shared" si="228"/>
        <v>8.2514666666666655E-4</v>
      </c>
      <c r="BS118" s="546">
        <f t="shared" si="229"/>
        <v>4.7815200000000009E-3</v>
      </c>
      <c r="BT118" s="546">
        <f t="shared" si="230"/>
        <v>2.7434142593897912E-4</v>
      </c>
      <c r="BU118" s="546"/>
      <c r="BV118" s="546">
        <f t="shared" si="231"/>
        <v>1.6799574468085111E-3</v>
      </c>
      <c r="BW118" s="472">
        <f t="shared" si="232"/>
        <v>7.5609655394141582</v>
      </c>
      <c r="BX118" s="179">
        <f t="shared" si="233"/>
        <v>3.0271459480602034E-2</v>
      </c>
      <c r="BY118" s="6">
        <f t="shared" si="234"/>
        <v>0.2112</v>
      </c>
      <c r="BZ118" s="179">
        <f t="shared" si="235"/>
        <v>0.87463752633244918</v>
      </c>
      <c r="CA118" s="6">
        <f t="shared" si="236"/>
        <v>87.463752633244923</v>
      </c>
      <c r="CD118" s="581">
        <f t="shared" si="237"/>
        <v>-50</v>
      </c>
      <c r="CE118">
        <f t="shared" si="238"/>
        <v>-50</v>
      </c>
    </row>
    <row r="119" spans="5:83" x14ac:dyDescent="0.2">
      <c r="E119" s="176">
        <v>9</v>
      </c>
      <c r="F119" s="223">
        <f t="shared" si="239"/>
        <v>9.8999999999999991E-3</v>
      </c>
      <c r="G119" s="223"/>
      <c r="H119" s="223">
        <f t="shared" si="190"/>
        <v>0.23759999999999998</v>
      </c>
      <c r="I119" s="559">
        <f t="shared" si="191"/>
        <v>10</v>
      </c>
      <c r="J119" s="454">
        <f t="shared" si="192"/>
        <v>24.25</v>
      </c>
      <c r="K119" s="454">
        <f t="shared" si="193"/>
        <v>34.25</v>
      </c>
      <c r="L119" s="454"/>
      <c r="M119" s="223">
        <f t="shared" si="194"/>
        <v>0.70802919708029199</v>
      </c>
      <c r="N119" s="178">
        <f t="shared" si="240"/>
        <v>4.8765510948905106</v>
      </c>
      <c r="O119" s="178">
        <f t="shared" si="162"/>
        <v>0.23759999999999998</v>
      </c>
      <c r="P119" s="223">
        <f t="shared" si="195"/>
        <v>0.20318962895377127</v>
      </c>
      <c r="Q119" s="223">
        <f t="shared" si="196"/>
        <v>24</v>
      </c>
      <c r="R119" s="223"/>
      <c r="S119" s="178">
        <f t="shared" si="197"/>
        <v>685.71071523064836</v>
      </c>
      <c r="T119" s="178">
        <f t="shared" si="198"/>
        <v>24</v>
      </c>
      <c r="U119" s="223">
        <f t="shared" si="199"/>
        <v>7.0648290830168201E-2</v>
      </c>
      <c r="V119" s="223">
        <f t="shared" si="200"/>
        <v>0.33204696690179053</v>
      </c>
      <c r="W119" s="223">
        <f t="shared" si="201"/>
        <v>0.13692658428939813</v>
      </c>
      <c r="X119" s="203">
        <f t="shared" si="202"/>
        <v>350</v>
      </c>
      <c r="Y119" s="454">
        <f t="shared" si="203"/>
        <v>350</v>
      </c>
      <c r="AA119" s="223">
        <f t="shared" si="204"/>
        <v>0.43041288576309544</v>
      </c>
      <c r="AB119" s="179">
        <f t="shared" si="205"/>
        <v>0.83420229405630864</v>
      </c>
      <c r="AC119" s="179">
        <f t="shared" si="206"/>
        <v>6.2833997921619769E-2</v>
      </c>
      <c r="AD119" s="179"/>
      <c r="AE119" s="179">
        <f t="shared" si="207"/>
        <v>0.56206185567010303</v>
      </c>
      <c r="AF119" s="563">
        <f t="shared" si="208"/>
        <v>121.47392921294306</v>
      </c>
      <c r="AG119" s="546">
        <f t="shared" si="209"/>
        <v>2.8524639175257726E-2</v>
      </c>
      <c r="AI119" s="179">
        <f t="shared" si="210"/>
        <v>0.1708462754877153</v>
      </c>
      <c r="AJ119" s="179">
        <f t="shared" si="211"/>
        <v>0.28999999999999998</v>
      </c>
      <c r="AK119" s="179">
        <f t="shared" si="212"/>
        <v>1.0694136738359674</v>
      </c>
      <c r="AM119" s="563">
        <f t="shared" si="213"/>
        <v>9.8999999999999986</v>
      </c>
      <c r="AN119" s="472">
        <f t="shared" si="214"/>
        <v>121.47392921294306</v>
      </c>
      <c r="AP119" s="472">
        <f t="shared" si="215"/>
        <v>9.8999999999999986</v>
      </c>
      <c r="AQ119" s="472">
        <f t="shared" si="216"/>
        <v>121.47392921294306</v>
      </c>
      <c r="AS119" s="6">
        <f t="shared" si="164"/>
        <v>8.2322190981984793</v>
      </c>
      <c r="AT119" s="6">
        <f t="shared" si="217"/>
        <v>1.363</v>
      </c>
      <c r="AU119" s="6">
        <f t="shared" si="218"/>
        <v>6.8692190981984798</v>
      </c>
      <c r="AV119" s="6"/>
      <c r="AW119" s="179">
        <f t="shared" si="219"/>
        <v>0.16556896551724137</v>
      </c>
      <c r="AX119" s="179">
        <f t="shared" si="142"/>
        <v>0.24007499999999998</v>
      </c>
      <c r="AY119" s="179">
        <f t="shared" si="143"/>
        <v>0.12099249999999999</v>
      </c>
      <c r="AZ119" s="179">
        <f t="shared" si="167"/>
        <v>1.9842138975556336</v>
      </c>
      <c r="BD119" s="179">
        <f t="shared" si="168"/>
        <v>6.8128187998801187E-2</v>
      </c>
      <c r="BE119" s="179">
        <f t="shared" si="146"/>
        <v>0.15294405295183375</v>
      </c>
      <c r="BG119" s="546">
        <f t="shared" si="220"/>
        <v>1.6245074999999994E-3</v>
      </c>
      <c r="BH119" s="546">
        <f t="shared" si="221"/>
        <v>9.0490485143066759E-3</v>
      </c>
      <c r="BI119" s="546">
        <f t="shared" si="222"/>
        <v>1.5184241151617883E-3</v>
      </c>
      <c r="BJ119" s="546">
        <f t="shared" si="223"/>
        <v>7.124825554367901E-3</v>
      </c>
      <c r="BK119">
        <f t="shared" si="224"/>
        <v>2.8999999999999998E-3</v>
      </c>
      <c r="BM119" s="472">
        <f t="shared" si="225"/>
        <v>22.216805683836366</v>
      </c>
      <c r="BN119" s="546">
        <f t="shared" si="226"/>
        <v>2.9699999999999996E-3</v>
      </c>
      <c r="BQ119" s="472">
        <f t="shared" si="227"/>
        <v>2.9699999999999998</v>
      </c>
      <c r="BR119" s="546">
        <f t="shared" si="228"/>
        <v>9.2828999999999969E-4</v>
      </c>
      <c r="BS119" s="546">
        <f t="shared" si="229"/>
        <v>4.6783766666666652E-3</v>
      </c>
      <c r="BT119" s="546">
        <f t="shared" si="230"/>
        <v>3.6827538970286681E-4</v>
      </c>
      <c r="BU119" s="546"/>
      <c r="BV119" s="546">
        <f t="shared" si="231"/>
        <v>1.8899521276595746E-3</v>
      </c>
      <c r="BW119" s="472">
        <f t="shared" si="232"/>
        <v>7.8648941840291071</v>
      </c>
      <c r="BX119" s="179">
        <f t="shared" si="233"/>
        <v>3.3051699867865471E-2</v>
      </c>
      <c r="BY119" s="6">
        <f t="shared" si="234"/>
        <v>0.23759999999999998</v>
      </c>
      <c r="BZ119" s="179">
        <f t="shared" si="235"/>
        <v>0.87788105567413166</v>
      </c>
      <c r="CA119" s="6">
        <f t="shared" si="236"/>
        <v>87.788105567413169</v>
      </c>
      <c r="CD119" s="581">
        <f t="shared" si="237"/>
        <v>-50</v>
      </c>
      <c r="CE119">
        <f t="shared" si="238"/>
        <v>-50</v>
      </c>
    </row>
    <row r="120" spans="5:83" x14ac:dyDescent="0.2">
      <c r="E120" s="176">
        <v>10</v>
      </c>
      <c r="F120" s="223">
        <f t="shared" si="239"/>
        <v>1.1000000000000001E-2</v>
      </c>
      <c r="G120" s="223"/>
      <c r="H120" s="223">
        <f t="shared" si="190"/>
        <v>0.26400000000000001</v>
      </c>
      <c r="I120" s="559">
        <f t="shared" si="191"/>
        <v>10</v>
      </c>
      <c r="J120" s="454">
        <f t="shared" si="192"/>
        <v>24.25</v>
      </c>
      <c r="K120" s="454">
        <f t="shared" si="193"/>
        <v>34.25</v>
      </c>
      <c r="L120" s="454"/>
      <c r="M120" s="223">
        <f t="shared" si="194"/>
        <v>0.70802919708029199</v>
      </c>
      <c r="N120" s="178">
        <f t="shared" si="240"/>
        <v>4.8765510948905106</v>
      </c>
      <c r="O120" s="178">
        <f t="shared" si="162"/>
        <v>0.26400000000000001</v>
      </c>
      <c r="P120" s="223">
        <f t="shared" si="195"/>
        <v>0.20318962895377127</v>
      </c>
      <c r="Q120" s="223">
        <f t="shared" si="196"/>
        <v>24</v>
      </c>
      <c r="R120" s="223"/>
      <c r="S120" s="178">
        <f t="shared" si="197"/>
        <v>616.14041950731939</v>
      </c>
      <c r="T120" s="178">
        <f t="shared" si="198"/>
        <v>24</v>
      </c>
      <c r="U120" s="223">
        <f t="shared" si="199"/>
        <v>7.8498100922409123E-2</v>
      </c>
      <c r="V120" s="223">
        <f t="shared" si="200"/>
        <v>0.36894107433532286</v>
      </c>
      <c r="W120" s="223">
        <f t="shared" si="201"/>
        <v>0.15214064921044243</v>
      </c>
      <c r="X120" s="203">
        <f t="shared" si="202"/>
        <v>350</v>
      </c>
      <c r="Y120" s="454">
        <f t="shared" si="203"/>
        <v>350</v>
      </c>
      <c r="AA120" s="223">
        <f t="shared" si="204"/>
        <v>0.43041288576309544</v>
      </c>
      <c r="AB120" s="179">
        <f t="shared" si="205"/>
        <v>0.83420229405630864</v>
      </c>
      <c r="AC120" s="179">
        <f t="shared" si="206"/>
        <v>6.2833997921619769E-2</v>
      </c>
      <c r="AD120" s="179"/>
      <c r="AE120" s="179">
        <f t="shared" si="207"/>
        <v>0.56206185567010303</v>
      </c>
      <c r="AF120" s="563">
        <f t="shared" si="208"/>
        <v>134.97103245882565</v>
      </c>
      <c r="AG120" s="546">
        <f t="shared" si="209"/>
        <v>2.8524639175257726E-2</v>
      </c>
      <c r="AI120" s="179">
        <f t="shared" si="210"/>
        <v>0.18008778676592493</v>
      </c>
      <c r="AJ120" s="179">
        <f t="shared" si="211"/>
        <v>0.28999999999999998</v>
      </c>
      <c r="AK120" s="179">
        <f t="shared" si="212"/>
        <v>1.0771263042621861</v>
      </c>
      <c r="AM120" s="563">
        <f t="shared" si="213"/>
        <v>11.000000000000002</v>
      </c>
      <c r="AN120" s="472">
        <f t="shared" si="214"/>
        <v>134.97103245882565</v>
      </c>
      <c r="AP120" s="472">
        <f t="shared" si="215"/>
        <v>11.000000000000002</v>
      </c>
      <c r="AQ120" s="472">
        <f t="shared" si="216"/>
        <v>134.97103245882565</v>
      </c>
      <c r="AS120" s="6">
        <f t="shared" si="164"/>
        <v>7.4089971883786303</v>
      </c>
      <c r="AT120" s="6">
        <f t="shared" si="217"/>
        <v>1.363</v>
      </c>
      <c r="AU120" s="6">
        <f t="shared" si="218"/>
        <v>6.0459971883786299</v>
      </c>
      <c r="AV120" s="6"/>
      <c r="AW120" s="179">
        <f t="shared" si="219"/>
        <v>0.18396551724137936</v>
      </c>
      <c r="AX120" s="179">
        <f t="shared" si="142"/>
        <v>0.26674999999999999</v>
      </c>
      <c r="AY120" s="179">
        <f t="shared" si="143"/>
        <v>0.11832499999999999</v>
      </c>
      <c r="AZ120" s="179">
        <f t="shared" si="167"/>
        <v>2.2543841115571519</v>
      </c>
      <c r="BD120" s="179">
        <f t="shared" si="168"/>
        <v>7.1813415645453516E-2</v>
      </c>
      <c r="BE120" s="179">
        <f t="shared" si="146"/>
        <v>0.15124869145439462</v>
      </c>
      <c r="BG120" s="546">
        <f t="shared" si="220"/>
        <v>1.8050083333333335E-3</v>
      </c>
      <c r="BH120" s="546">
        <f t="shared" si="221"/>
        <v>1.0054498349229642E-2</v>
      </c>
      <c r="BI120" s="546">
        <f t="shared" si="222"/>
        <v>1.6871379057353205E-3</v>
      </c>
      <c r="BJ120" s="546">
        <f t="shared" si="223"/>
        <v>7.9164728381865591E-3</v>
      </c>
      <c r="BK120">
        <f t="shared" si="224"/>
        <v>2.8999999999999998E-3</v>
      </c>
      <c r="BM120" s="472">
        <f t="shared" si="225"/>
        <v>24.363117426484855</v>
      </c>
      <c r="BN120" s="546">
        <f t="shared" si="226"/>
        <v>3.3000000000000004E-3</v>
      </c>
      <c r="BQ120" s="472">
        <f t="shared" si="227"/>
        <v>3.3000000000000003</v>
      </c>
      <c r="BR120" s="546">
        <f t="shared" si="228"/>
        <v>1.0314333333333336E-3</v>
      </c>
      <c r="BS120" s="546">
        <f t="shared" si="229"/>
        <v>4.5752333333333338E-3</v>
      </c>
      <c r="BT120" s="546">
        <f t="shared" si="230"/>
        <v>4.7925474800295393E-4</v>
      </c>
      <c r="BU120" s="546"/>
      <c r="BV120" s="546">
        <f t="shared" si="231"/>
        <v>2.0999468085106388E-3</v>
      </c>
      <c r="BW120" s="472">
        <f t="shared" si="232"/>
        <v>8.1858682231802611</v>
      </c>
      <c r="BX120" s="179">
        <f t="shared" si="233"/>
        <v>3.584898564966512E-2</v>
      </c>
      <c r="BY120" s="6">
        <f t="shared" si="234"/>
        <v>0.26400000000000001</v>
      </c>
      <c r="BZ120" s="179">
        <f t="shared" si="235"/>
        <v>0.8804431985254404</v>
      </c>
      <c r="CA120" s="6">
        <f t="shared" si="236"/>
        <v>88.044319852544035</v>
      </c>
      <c r="CD120" s="581">
        <f t="shared" si="237"/>
        <v>-50</v>
      </c>
      <c r="CE120">
        <f t="shared" si="238"/>
        <v>-50</v>
      </c>
    </row>
    <row r="121" spans="5:83" x14ac:dyDescent="0.2">
      <c r="E121" s="176">
        <v>11</v>
      </c>
      <c r="F121" s="223">
        <f t="shared" si="239"/>
        <v>1.21E-2</v>
      </c>
      <c r="G121" s="223"/>
      <c r="H121" s="223">
        <f t="shared" si="190"/>
        <v>0.29039999999999999</v>
      </c>
      <c r="I121" s="559">
        <f t="shared" si="191"/>
        <v>10</v>
      </c>
      <c r="J121" s="454">
        <f t="shared" si="192"/>
        <v>24.25</v>
      </c>
      <c r="K121" s="454">
        <f t="shared" si="193"/>
        <v>34.25</v>
      </c>
      <c r="L121" s="454"/>
      <c r="M121" s="223">
        <f t="shared" si="194"/>
        <v>0.70802919708029199</v>
      </c>
      <c r="N121" s="178">
        <f t="shared" si="240"/>
        <v>4.8765510948905106</v>
      </c>
      <c r="O121" s="178">
        <f t="shared" si="162"/>
        <v>0.29039999999999999</v>
      </c>
      <c r="P121" s="223">
        <f t="shared" si="195"/>
        <v>0.20318962895377127</v>
      </c>
      <c r="Q121" s="223">
        <f t="shared" si="196"/>
        <v>24</v>
      </c>
      <c r="R121" s="223"/>
      <c r="S121" s="178">
        <f t="shared" si="197"/>
        <v>559.21934455313738</v>
      </c>
      <c r="T121" s="178">
        <f t="shared" si="198"/>
        <v>24</v>
      </c>
      <c r="U121" s="223">
        <f t="shared" si="199"/>
        <v>8.6347911014650017E-2</v>
      </c>
      <c r="V121" s="223">
        <f t="shared" si="200"/>
        <v>0.40583518176885508</v>
      </c>
      <c r="W121" s="223">
        <f t="shared" si="201"/>
        <v>0.16735471413148661</v>
      </c>
      <c r="X121" s="203">
        <f t="shared" si="202"/>
        <v>350</v>
      </c>
      <c r="Y121" s="454">
        <f t="shared" si="203"/>
        <v>350</v>
      </c>
      <c r="AA121" s="223">
        <f t="shared" si="204"/>
        <v>0.43041288576309544</v>
      </c>
      <c r="AB121" s="179">
        <f t="shared" si="205"/>
        <v>0.83420229405630864</v>
      </c>
      <c r="AC121" s="179">
        <f t="shared" si="206"/>
        <v>6.2833997921619769E-2</v>
      </c>
      <c r="AD121" s="179"/>
      <c r="AE121" s="179">
        <f t="shared" si="207"/>
        <v>0.56206185567010303</v>
      </c>
      <c r="AF121" s="563">
        <f t="shared" si="208"/>
        <v>148.4681357047082</v>
      </c>
      <c r="AG121" s="546">
        <f t="shared" si="209"/>
        <v>2.8524639175257726E-2</v>
      </c>
      <c r="AI121" s="179">
        <f t="shared" si="210"/>
        <v>0.18887766420748156</v>
      </c>
      <c r="AJ121" s="179">
        <f t="shared" si="211"/>
        <v>0.28999999999999998</v>
      </c>
      <c r="AK121" s="179">
        <f t="shared" si="212"/>
        <v>1.0848389346884046</v>
      </c>
      <c r="AM121" s="563">
        <f t="shared" si="213"/>
        <v>12.1</v>
      </c>
      <c r="AN121" s="472">
        <f t="shared" si="214"/>
        <v>148.4681357047082</v>
      </c>
      <c r="AP121" s="472">
        <f t="shared" si="215"/>
        <v>12.1</v>
      </c>
      <c r="AQ121" s="472">
        <f t="shared" si="216"/>
        <v>148.4681357047082</v>
      </c>
      <c r="AS121" s="6">
        <f t="shared" si="164"/>
        <v>6.7354519894351181</v>
      </c>
      <c r="AT121" s="6">
        <f t="shared" si="217"/>
        <v>1.363</v>
      </c>
      <c r="AU121" s="6">
        <f t="shared" si="218"/>
        <v>5.3724519894351186</v>
      </c>
      <c r="AV121" s="6"/>
      <c r="AW121" s="179">
        <f t="shared" si="219"/>
        <v>0.20236206896551728</v>
      </c>
      <c r="AX121" s="179">
        <f t="shared" si="142"/>
        <v>0.29342499999999999</v>
      </c>
      <c r="AY121" s="179">
        <f t="shared" si="143"/>
        <v>0.1156575</v>
      </c>
      <c r="AZ121" s="179">
        <f t="shared" si="167"/>
        <v>2.5370166223547974</v>
      </c>
      <c r="BD121" s="179">
        <f t="shared" si="168"/>
        <v>7.5318545746272447E-2</v>
      </c>
      <c r="BE121" s="179">
        <f t="shared" si="146"/>
        <v>0.14953410982113746</v>
      </c>
      <c r="BG121" s="546">
        <f t="shared" si="220"/>
        <v>1.9855091666666673E-3</v>
      </c>
      <c r="BH121" s="546">
        <f t="shared" si="221"/>
        <v>1.1059948184152605E-2</v>
      </c>
      <c r="BI121" s="546">
        <f t="shared" si="222"/>
        <v>1.8558516963088523E-3</v>
      </c>
      <c r="BJ121" s="546">
        <f t="shared" si="223"/>
        <v>8.708120122005213E-3</v>
      </c>
      <c r="BK121">
        <f t="shared" si="224"/>
        <v>2.8999999999999998E-3</v>
      </c>
      <c r="BM121" s="472">
        <f t="shared" si="225"/>
        <v>26.509429169133341</v>
      </c>
      <c r="BN121" s="546">
        <f t="shared" si="226"/>
        <v>3.6299999999999995E-3</v>
      </c>
      <c r="BQ121" s="472">
        <f t="shared" si="227"/>
        <v>3.6299999999999994</v>
      </c>
      <c r="BR121" s="546">
        <f t="shared" si="228"/>
        <v>1.134576666666667E-3</v>
      </c>
      <c r="BS121" s="546">
        <f t="shared" si="229"/>
        <v>4.4720900000000006E-3</v>
      </c>
      <c r="BT121" s="546">
        <f t="shared" si="230"/>
        <v>6.0820241048199601E-4</v>
      </c>
      <c r="BU121" s="546"/>
      <c r="BV121" s="546">
        <f t="shared" si="231"/>
        <v>2.3099414893617029E-3</v>
      </c>
      <c r="BW121" s="472">
        <f t="shared" si="232"/>
        <v>8.5248105665103679</v>
      </c>
      <c r="BX121" s="179">
        <f t="shared" si="233"/>
        <v>3.8664239735643702E-2</v>
      </c>
      <c r="BY121" s="6">
        <f t="shared" si="234"/>
        <v>0.29039999999999999</v>
      </c>
      <c r="BZ121" s="179">
        <f t="shared" si="235"/>
        <v>0.88250245676435424</v>
      </c>
      <c r="CA121" s="6">
        <f t="shared" si="236"/>
        <v>88.250245676435426</v>
      </c>
      <c r="CD121" s="581">
        <f t="shared" si="237"/>
        <v>-50</v>
      </c>
      <c r="CE121">
        <f t="shared" si="238"/>
        <v>-50</v>
      </c>
    </row>
    <row r="122" spans="5:83" x14ac:dyDescent="0.2">
      <c r="E122" s="176">
        <v>12</v>
      </c>
      <c r="F122" s="223">
        <f t="shared" si="239"/>
        <v>1.32E-2</v>
      </c>
      <c r="G122" s="223"/>
      <c r="H122" s="223">
        <f t="shared" si="190"/>
        <v>0.31679999999999997</v>
      </c>
      <c r="I122" s="559">
        <f t="shared" si="191"/>
        <v>10</v>
      </c>
      <c r="J122" s="454">
        <f t="shared" si="192"/>
        <v>24.25</v>
      </c>
      <c r="K122" s="454">
        <f t="shared" si="193"/>
        <v>34.25</v>
      </c>
      <c r="L122" s="454"/>
      <c r="M122" s="223">
        <f t="shared" si="194"/>
        <v>0.70802919708029199</v>
      </c>
      <c r="N122" s="178">
        <f t="shared" si="240"/>
        <v>4.8765510948905106</v>
      </c>
      <c r="O122" s="178">
        <f t="shared" si="162"/>
        <v>0.31679999999999997</v>
      </c>
      <c r="P122" s="223">
        <f t="shared" si="195"/>
        <v>0.20318962895377127</v>
      </c>
      <c r="Q122" s="223">
        <f t="shared" si="196"/>
        <v>24</v>
      </c>
      <c r="R122" s="223"/>
      <c r="S122" s="178">
        <f t="shared" si="197"/>
        <v>511.78518550727091</v>
      </c>
      <c r="T122" s="178">
        <f t="shared" si="198"/>
        <v>24</v>
      </c>
      <c r="U122" s="223">
        <f t="shared" si="199"/>
        <v>9.4197721106890925E-2</v>
      </c>
      <c r="V122" s="223">
        <f t="shared" si="200"/>
        <v>0.44272928920238735</v>
      </c>
      <c r="W122" s="223">
        <f t="shared" si="201"/>
        <v>0.18256877905253088</v>
      </c>
      <c r="X122" s="203">
        <f t="shared" si="202"/>
        <v>350</v>
      </c>
      <c r="Y122" s="454">
        <f t="shared" si="203"/>
        <v>350</v>
      </c>
      <c r="AA122" s="223">
        <f t="shared" si="204"/>
        <v>0.43041288576309544</v>
      </c>
      <c r="AB122" s="179">
        <f t="shared" si="205"/>
        <v>0.83420229405630864</v>
      </c>
      <c r="AC122" s="179">
        <f t="shared" si="206"/>
        <v>6.2833997921619769E-2</v>
      </c>
      <c r="AD122" s="179"/>
      <c r="AE122" s="179">
        <f t="shared" si="207"/>
        <v>0.56206185567010303</v>
      </c>
      <c r="AF122" s="563">
        <f t="shared" si="208"/>
        <v>161.96523895059079</v>
      </c>
      <c r="AG122" s="546">
        <f t="shared" si="209"/>
        <v>2.8524639175257726E-2</v>
      </c>
      <c r="AI122" s="179">
        <f t="shared" si="210"/>
        <v>0.1972762862857548</v>
      </c>
      <c r="AJ122" s="179">
        <f t="shared" si="211"/>
        <v>0.28999999999999998</v>
      </c>
      <c r="AK122" s="179">
        <f t="shared" si="212"/>
        <v>1.0925515651146234</v>
      </c>
      <c r="AM122" s="563">
        <f t="shared" si="213"/>
        <v>13.2</v>
      </c>
      <c r="AN122" s="472">
        <f t="shared" si="214"/>
        <v>161.96523895059079</v>
      </c>
      <c r="AP122" s="472">
        <f t="shared" si="215"/>
        <v>13.2</v>
      </c>
      <c r="AQ122" s="472">
        <f t="shared" si="216"/>
        <v>161.96523895059079</v>
      </c>
      <c r="AS122" s="6">
        <f t="shared" si="164"/>
        <v>6.1741643236488581</v>
      </c>
      <c r="AT122" s="6">
        <f t="shared" si="217"/>
        <v>1.363</v>
      </c>
      <c r="AU122" s="6">
        <f t="shared" si="218"/>
        <v>4.8111643236488586</v>
      </c>
      <c r="AV122" s="6"/>
      <c r="AW122" s="179">
        <f t="shared" si="219"/>
        <v>0.22075862068965524</v>
      </c>
      <c r="AX122" s="179">
        <f t="shared" si="142"/>
        <v>0.32010000000000011</v>
      </c>
      <c r="AY122" s="179">
        <f t="shared" si="143"/>
        <v>0.11298999999999998</v>
      </c>
      <c r="AZ122" s="179">
        <f t="shared" si="167"/>
        <v>2.8329940702717069</v>
      </c>
      <c r="BD122" s="179">
        <f t="shared" si="168"/>
        <v>7.8667655361018621E-2</v>
      </c>
      <c r="BE122" s="179">
        <f t="shared" si="146"/>
        <v>0.14779963915156671</v>
      </c>
      <c r="BG122" s="546">
        <f t="shared" si="220"/>
        <v>2.1660100000000003E-3</v>
      </c>
      <c r="BH122" s="546">
        <f t="shared" si="221"/>
        <v>1.2065398019075569E-2</v>
      </c>
      <c r="BI122" s="546">
        <f t="shared" si="222"/>
        <v>2.0245654868823845E-3</v>
      </c>
      <c r="BJ122" s="546">
        <f t="shared" si="223"/>
        <v>9.4997674058238703E-3</v>
      </c>
      <c r="BK122">
        <f t="shared" si="224"/>
        <v>2.8999999999999998E-3</v>
      </c>
      <c r="BM122" s="472">
        <f t="shared" si="225"/>
        <v>28.655740911781823</v>
      </c>
      <c r="BN122" s="546">
        <f t="shared" si="226"/>
        <v>3.96E-3</v>
      </c>
      <c r="BQ122" s="472">
        <f t="shared" si="227"/>
        <v>3.96</v>
      </c>
      <c r="BR122" s="546">
        <f t="shared" si="228"/>
        <v>1.2377200000000003E-3</v>
      </c>
      <c r="BS122" s="546">
        <f t="shared" si="229"/>
        <v>4.3689466666666666E-3</v>
      </c>
      <c r="BT122" s="546">
        <f t="shared" si="230"/>
        <v>7.5599607246529536E-4</v>
      </c>
      <c r="BU122" s="546"/>
      <c r="BV122" s="546">
        <f t="shared" si="231"/>
        <v>2.519936170212767E-3</v>
      </c>
      <c r="BW122" s="472">
        <f t="shared" si="232"/>
        <v>8.8825989093447291</v>
      </c>
      <c r="BX122" s="179">
        <f t="shared" si="233"/>
        <v>4.1498339821126544E-2</v>
      </c>
      <c r="BY122" s="6">
        <f t="shared" si="234"/>
        <v>0.31679999999999997</v>
      </c>
      <c r="BZ122" s="179">
        <f t="shared" si="235"/>
        <v>0.88417936895313609</v>
      </c>
      <c r="CA122" s="6">
        <f t="shared" si="236"/>
        <v>88.417936895313602</v>
      </c>
      <c r="CD122" s="581">
        <f t="shared" si="237"/>
        <v>-50</v>
      </c>
      <c r="CE122">
        <f t="shared" si="238"/>
        <v>-50</v>
      </c>
    </row>
    <row r="123" spans="5:83" x14ac:dyDescent="0.2">
      <c r="E123" s="176">
        <v>13</v>
      </c>
      <c r="F123" s="223">
        <f t="shared" si="239"/>
        <v>1.43E-2</v>
      </c>
      <c r="G123" s="223"/>
      <c r="H123" s="223">
        <f t="shared" si="190"/>
        <v>0.34320000000000001</v>
      </c>
      <c r="I123" s="559">
        <f t="shared" si="191"/>
        <v>10</v>
      </c>
      <c r="J123" s="454">
        <f t="shared" si="192"/>
        <v>24.25</v>
      </c>
      <c r="K123" s="454">
        <f t="shared" si="193"/>
        <v>34.25</v>
      </c>
      <c r="L123" s="454"/>
      <c r="M123" s="223">
        <f t="shared" si="194"/>
        <v>0.70802919708029199</v>
      </c>
      <c r="N123" s="178">
        <f t="shared" si="240"/>
        <v>4.8765510948905106</v>
      </c>
      <c r="O123" s="178">
        <f t="shared" si="162"/>
        <v>0.34320000000000001</v>
      </c>
      <c r="P123" s="223">
        <f t="shared" si="195"/>
        <v>0.20318962895377127</v>
      </c>
      <c r="Q123" s="223">
        <f t="shared" si="196"/>
        <v>24</v>
      </c>
      <c r="R123" s="223"/>
      <c r="S123" s="178">
        <f t="shared" si="197"/>
        <v>471.64865439103346</v>
      </c>
      <c r="T123" s="178">
        <f t="shared" si="198"/>
        <v>24</v>
      </c>
      <c r="U123" s="223">
        <f t="shared" si="199"/>
        <v>0.10204753119913185</v>
      </c>
      <c r="V123" s="223">
        <f t="shared" si="200"/>
        <v>0.47962339663591969</v>
      </c>
      <c r="W123" s="223">
        <f t="shared" si="201"/>
        <v>0.19778284397357512</v>
      </c>
      <c r="X123" s="203">
        <f t="shared" si="202"/>
        <v>350</v>
      </c>
      <c r="Y123" s="454">
        <f t="shared" si="203"/>
        <v>350</v>
      </c>
      <c r="AA123" s="223">
        <f t="shared" si="204"/>
        <v>0.43041288576309544</v>
      </c>
      <c r="AB123" s="179">
        <f t="shared" si="205"/>
        <v>0.83420229405630864</v>
      </c>
      <c r="AC123" s="179">
        <f t="shared" si="206"/>
        <v>6.2833997921619769E-2</v>
      </c>
      <c r="AD123" s="179"/>
      <c r="AE123" s="179">
        <f t="shared" si="207"/>
        <v>0.56206185567010303</v>
      </c>
      <c r="AF123" s="563">
        <f t="shared" si="208"/>
        <v>175.46234219647332</v>
      </c>
      <c r="AG123" s="546">
        <f t="shared" si="209"/>
        <v>2.8524639175257726E-2</v>
      </c>
      <c r="AI123" s="179">
        <f t="shared" si="210"/>
        <v>0.20533166883100137</v>
      </c>
      <c r="AJ123" s="179">
        <f t="shared" si="211"/>
        <v>0.28999999999999998</v>
      </c>
      <c r="AK123" s="179">
        <f t="shared" si="212"/>
        <v>1.1002641955408419</v>
      </c>
      <c r="AM123" s="563">
        <f t="shared" si="213"/>
        <v>14.3</v>
      </c>
      <c r="AN123" s="472">
        <f t="shared" si="214"/>
        <v>175.46234219647332</v>
      </c>
      <c r="AP123" s="472">
        <f t="shared" si="215"/>
        <v>14.3</v>
      </c>
      <c r="AQ123" s="472">
        <f t="shared" si="216"/>
        <v>175.46234219647332</v>
      </c>
      <c r="AS123" s="6">
        <f t="shared" si="164"/>
        <v>5.6992286064451001</v>
      </c>
      <c r="AT123" s="6">
        <f t="shared" si="217"/>
        <v>1.363</v>
      </c>
      <c r="AU123" s="6">
        <f t="shared" si="218"/>
        <v>4.3362286064451006</v>
      </c>
      <c r="AV123" s="6"/>
      <c r="AW123" s="179">
        <f t="shared" si="219"/>
        <v>0.23915517241379314</v>
      </c>
      <c r="AX123" s="179">
        <f t="shared" si="142"/>
        <v>0.346775</v>
      </c>
      <c r="AY123" s="179">
        <f t="shared" si="143"/>
        <v>0.11032249999999999</v>
      </c>
      <c r="AZ123" s="179">
        <f t="shared" si="167"/>
        <v>3.14328446146525</v>
      </c>
      <c r="BD123" s="179">
        <f t="shared" si="168"/>
        <v>8.1879891711376038E-2</v>
      </c>
      <c r="BE123" s="179">
        <f t="shared" si="146"/>
        <v>0.14604457082228928</v>
      </c>
      <c r="BG123" s="546">
        <f t="shared" si="220"/>
        <v>2.3465108333333329E-3</v>
      </c>
      <c r="BH123" s="546">
        <f t="shared" si="221"/>
        <v>1.307084785399853E-2</v>
      </c>
      <c r="BI123" s="546">
        <f t="shared" si="222"/>
        <v>2.1932792774559161E-3</v>
      </c>
      <c r="BJ123" s="546">
        <f t="shared" si="223"/>
        <v>1.0291414689642524E-2</v>
      </c>
      <c r="BK123">
        <f t="shared" si="224"/>
        <v>2.8999999999999998E-3</v>
      </c>
      <c r="BM123" s="472">
        <f t="shared" si="225"/>
        <v>30.802052654430305</v>
      </c>
      <c r="BN123" s="546">
        <f t="shared" si="226"/>
        <v>4.2899999999999995E-3</v>
      </c>
      <c r="BQ123" s="472">
        <f t="shared" si="227"/>
        <v>4.2899999999999991</v>
      </c>
      <c r="BR123" s="546">
        <f t="shared" si="228"/>
        <v>1.3408633333333335E-3</v>
      </c>
      <c r="BS123" s="546">
        <f t="shared" si="229"/>
        <v>4.2658033333333343E-3</v>
      </c>
      <c r="BT123" s="546">
        <f t="shared" si="230"/>
        <v>9.2347428139923277E-4</v>
      </c>
      <c r="BU123" s="546"/>
      <c r="BV123" s="546">
        <f t="shared" si="231"/>
        <v>2.7299308510638299E-3</v>
      </c>
      <c r="BW123" s="472">
        <f t="shared" si="232"/>
        <v>9.2600717991297294</v>
      </c>
      <c r="BX123" s="179">
        <f t="shared" si="233"/>
        <v>4.435212445356003E-2</v>
      </c>
      <c r="BY123" s="6">
        <f t="shared" si="234"/>
        <v>0.34320000000000001</v>
      </c>
      <c r="BZ123" s="179">
        <f t="shared" si="235"/>
        <v>0.88555829872924696</v>
      </c>
      <c r="CA123" s="6">
        <f t="shared" si="236"/>
        <v>88.55582987292469</v>
      </c>
      <c r="CD123" s="581">
        <f t="shared" si="237"/>
        <v>-50</v>
      </c>
      <c r="CE123">
        <f t="shared" si="238"/>
        <v>-50</v>
      </c>
    </row>
    <row r="124" spans="5:83" x14ac:dyDescent="0.2">
      <c r="E124" s="176">
        <v>14</v>
      </c>
      <c r="F124" s="223">
        <f t="shared" si="239"/>
        <v>1.5400000000000002E-2</v>
      </c>
      <c r="G124" s="223"/>
      <c r="H124" s="223">
        <f t="shared" si="190"/>
        <v>0.36960000000000004</v>
      </c>
      <c r="I124" s="559">
        <f t="shared" si="191"/>
        <v>10</v>
      </c>
      <c r="J124" s="454">
        <f t="shared" si="192"/>
        <v>24.25</v>
      </c>
      <c r="K124" s="454">
        <f t="shared" si="193"/>
        <v>34.25</v>
      </c>
      <c r="L124" s="454"/>
      <c r="M124" s="223">
        <f t="shared" si="194"/>
        <v>0.70802919708029199</v>
      </c>
      <c r="N124" s="178">
        <f t="shared" si="240"/>
        <v>4.8765510948905106</v>
      </c>
      <c r="O124" s="178">
        <f t="shared" si="162"/>
        <v>0.36960000000000004</v>
      </c>
      <c r="P124" s="223">
        <f t="shared" si="195"/>
        <v>0.20318962895377127</v>
      </c>
      <c r="Q124" s="223">
        <f t="shared" si="196"/>
        <v>24</v>
      </c>
      <c r="R124" s="223"/>
      <c r="S124" s="178">
        <f t="shared" si="197"/>
        <v>437.24597407855794</v>
      </c>
      <c r="T124" s="178">
        <f t="shared" si="198"/>
        <v>24</v>
      </c>
      <c r="U124" s="223">
        <f t="shared" si="199"/>
        <v>0.10989734129137277</v>
      </c>
      <c r="V124" s="223">
        <f t="shared" si="200"/>
        <v>0.51651750406945196</v>
      </c>
      <c r="W124" s="223">
        <f t="shared" si="201"/>
        <v>0.21299690889461939</v>
      </c>
      <c r="X124" s="203">
        <f t="shared" si="202"/>
        <v>350</v>
      </c>
      <c r="Y124" s="454">
        <f t="shared" si="203"/>
        <v>350</v>
      </c>
      <c r="AA124" s="223">
        <f t="shared" si="204"/>
        <v>0.43041288576309544</v>
      </c>
      <c r="AB124" s="179">
        <f t="shared" si="205"/>
        <v>0.83420229405630864</v>
      </c>
      <c r="AC124" s="179">
        <f t="shared" si="206"/>
        <v>6.2833997921619769E-2</v>
      </c>
      <c r="AD124" s="179"/>
      <c r="AE124" s="179">
        <f t="shared" si="207"/>
        <v>0.56206185567010303</v>
      </c>
      <c r="AF124" s="563">
        <f t="shared" si="208"/>
        <v>188.95944544235593</v>
      </c>
      <c r="AG124" s="546">
        <f t="shared" si="209"/>
        <v>2.8524639175257726E-2</v>
      </c>
      <c r="AI124" s="179">
        <f t="shared" si="210"/>
        <v>0.21308274289380863</v>
      </c>
      <c r="AJ124" s="179">
        <f t="shared" si="211"/>
        <v>0.28999999999999998</v>
      </c>
      <c r="AK124" s="179">
        <f t="shared" si="212"/>
        <v>1.1079768259670606</v>
      </c>
      <c r="AM124" s="563">
        <f t="shared" si="213"/>
        <v>15.400000000000002</v>
      </c>
      <c r="AN124" s="472">
        <f t="shared" si="214"/>
        <v>188.95944544235593</v>
      </c>
      <c r="AP124" s="472">
        <f t="shared" si="215"/>
        <v>15.400000000000002</v>
      </c>
      <c r="AQ124" s="472">
        <f t="shared" si="216"/>
        <v>188.95944544235593</v>
      </c>
      <c r="AS124" s="6">
        <f t="shared" si="164"/>
        <v>5.2921408488418775</v>
      </c>
      <c r="AT124" s="6">
        <f t="shared" si="217"/>
        <v>1.363</v>
      </c>
      <c r="AU124" s="6">
        <f t="shared" si="218"/>
        <v>3.9291408488418775</v>
      </c>
      <c r="AV124" s="6"/>
      <c r="AW124" s="179">
        <f t="shared" si="219"/>
        <v>0.25755172413793115</v>
      </c>
      <c r="AX124" s="179">
        <f t="shared" si="142"/>
        <v>0.37345000000000012</v>
      </c>
      <c r="AY124" s="179">
        <f t="shared" si="143"/>
        <v>0.10765499999999997</v>
      </c>
      <c r="AZ124" s="179">
        <f t="shared" si="167"/>
        <v>3.4689517439970294</v>
      </c>
      <c r="BD124" s="179">
        <f t="shared" si="168"/>
        <v>8.4970779291079435E-2</v>
      </c>
      <c r="BE124" s="179">
        <f t="shared" si="146"/>
        <v>0.14426815310386418</v>
      </c>
      <c r="BG124" s="546">
        <f t="shared" si="220"/>
        <v>2.5270116666666668E-3</v>
      </c>
      <c r="BH124" s="546">
        <f t="shared" si="221"/>
        <v>1.4076297688921499E-2</v>
      </c>
      <c r="BI124" s="546">
        <f t="shared" si="222"/>
        <v>2.361993068029449E-3</v>
      </c>
      <c r="BJ124" s="546">
        <f t="shared" si="223"/>
        <v>1.1083061973461181E-2</v>
      </c>
      <c r="BK124">
        <f t="shared" si="224"/>
        <v>2.8999999999999998E-3</v>
      </c>
      <c r="BM124" s="472">
        <f t="shared" si="225"/>
        <v>32.948364397078791</v>
      </c>
      <c r="BN124" s="546">
        <f t="shared" si="226"/>
        <v>4.6200000000000008E-3</v>
      </c>
      <c r="BQ124" s="472">
        <f t="shared" si="227"/>
        <v>4.620000000000001</v>
      </c>
      <c r="BR124" s="546">
        <f t="shared" si="228"/>
        <v>1.4440066666666668E-3</v>
      </c>
      <c r="BS124" s="546">
        <f t="shared" si="229"/>
        <v>4.1626599999999995E-3</v>
      </c>
      <c r="BT124" s="546">
        <f t="shared" si="230"/>
        <v>1.1114412556409922E-3</v>
      </c>
      <c r="BU124" s="546"/>
      <c r="BV124" s="546">
        <f t="shared" si="231"/>
        <v>2.9399255319148949E-3</v>
      </c>
      <c r="BW124" s="472">
        <f t="shared" si="232"/>
        <v>9.6580334542225543</v>
      </c>
      <c r="BX124" s="179">
        <f t="shared" si="233"/>
        <v>4.7226397851301345E-2</v>
      </c>
      <c r="BY124" s="6">
        <f t="shared" si="234"/>
        <v>0.36960000000000004</v>
      </c>
      <c r="BZ124" s="179">
        <f t="shared" si="235"/>
        <v>0.88670007923022942</v>
      </c>
      <c r="CA124" s="6">
        <f t="shared" si="236"/>
        <v>88.670007923022936</v>
      </c>
      <c r="CD124" s="581">
        <f t="shared" si="237"/>
        <v>-50</v>
      </c>
      <c r="CE124">
        <f t="shared" si="238"/>
        <v>-50</v>
      </c>
    </row>
    <row r="125" spans="5:83" x14ac:dyDescent="0.2">
      <c r="E125" s="176">
        <v>15</v>
      </c>
      <c r="F125" s="223">
        <f t="shared" si="239"/>
        <v>1.6500000000000001E-2</v>
      </c>
      <c r="G125" s="223"/>
      <c r="H125" s="223">
        <f t="shared" si="190"/>
        <v>0.39600000000000002</v>
      </c>
      <c r="I125" s="559">
        <f t="shared" si="191"/>
        <v>10</v>
      </c>
      <c r="J125" s="454">
        <f t="shared" si="192"/>
        <v>24.25</v>
      </c>
      <c r="K125" s="454">
        <f t="shared" si="193"/>
        <v>34.25</v>
      </c>
      <c r="L125" s="454"/>
      <c r="M125" s="223">
        <f t="shared" si="194"/>
        <v>0.70802919708029199</v>
      </c>
      <c r="N125" s="178">
        <f t="shared" si="240"/>
        <v>4.8765510948905106</v>
      </c>
      <c r="O125" s="178">
        <f t="shared" si="162"/>
        <v>0.39600000000000002</v>
      </c>
      <c r="P125" s="223">
        <f t="shared" si="195"/>
        <v>0.20318962895377127</v>
      </c>
      <c r="Q125" s="223">
        <f t="shared" si="196"/>
        <v>24</v>
      </c>
      <c r="R125" s="223"/>
      <c r="S125" s="178">
        <f t="shared" si="197"/>
        <v>407.43037467920306</v>
      </c>
      <c r="T125" s="178">
        <f t="shared" si="198"/>
        <v>24</v>
      </c>
      <c r="U125" s="223">
        <f t="shared" si="199"/>
        <v>0.11774715138361368</v>
      </c>
      <c r="V125" s="223">
        <f t="shared" si="200"/>
        <v>0.55341161150298435</v>
      </c>
      <c r="W125" s="223">
        <f t="shared" si="201"/>
        <v>0.22821097381566363</v>
      </c>
      <c r="X125" s="203">
        <f t="shared" si="202"/>
        <v>350</v>
      </c>
      <c r="Y125" s="454">
        <f t="shared" si="203"/>
        <v>350</v>
      </c>
      <c r="AA125" s="223">
        <f t="shared" si="204"/>
        <v>0.43041288576309544</v>
      </c>
      <c r="AB125" s="179">
        <f t="shared" si="205"/>
        <v>0.83420229405630864</v>
      </c>
      <c r="AC125" s="179">
        <f t="shared" si="206"/>
        <v>6.2833997921619769E-2</v>
      </c>
      <c r="AD125" s="179"/>
      <c r="AE125" s="179">
        <f t="shared" si="207"/>
        <v>0.56206185567010303</v>
      </c>
      <c r="AF125" s="563">
        <f t="shared" si="208"/>
        <v>202.45654868823846</v>
      </c>
      <c r="AG125" s="546">
        <f t="shared" si="209"/>
        <v>2.8524639175257726E-2</v>
      </c>
      <c r="AI125" s="179">
        <f t="shared" si="210"/>
        <v>0.22056159324182864</v>
      </c>
      <c r="AJ125" s="179">
        <f t="shared" si="211"/>
        <v>0.28999999999999998</v>
      </c>
      <c r="AK125" s="179">
        <f t="shared" si="212"/>
        <v>1.1156894563932791</v>
      </c>
      <c r="AM125" s="563">
        <f t="shared" si="213"/>
        <v>16.5</v>
      </c>
      <c r="AN125" s="472">
        <f t="shared" si="214"/>
        <v>202.45654868823846</v>
      </c>
      <c r="AP125" s="472">
        <f t="shared" si="215"/>
        <v>16.5</v>
      </c>
      <c r="AQ125" s="472">
        <f t="shared" si="216"/>
        <v>202.45654868823846</v>
      </c>
      <c r="AS125" s="6">
        <f t="shared" si="164"/>
        <v>4.9393314589190869</v>
      </c>
      <c r="AT125" s="6">
        <f t="shared" si="217"/>
        <v>1.363</v>
      </c>
      <c r="AU125" s="6">
        <f t="shared" si="218"/>
        <v>3.5763314589190869</v>
      </c>
      <c r="AV125" s="6"/>
      <c r="AW125" s="179">
        <f t="shared" si="219"/>
        <v>0.27594827586206899</v>
      </c>
      <c r="AX125" s="179">
        <f t="shared" si="142"/>
        <v>0.40012500000000001</v>
      </c>
      <c r="AY125" s="179">
        <f t="shared" si="143"/>
        <v>0.10498749999999998</v>
      </c>
      <c r="AZ125" s="179">
        <f t="shared" si="167"/>
        <v>3.8111679961900231</v>
      </c>
      <c r="BD125" s="179">
        <f t="shared" si="168"/>
        <v>8.7953112508881687E-2</v>
      </c>
      <c r="BE125" s="179">
        <f t="shared" si="146"/>
        <v>0.14246958739791915</v>
      </c>
      <c r="BG125" s="546">
        <f t="shared" si="220"/>
        <v>2.7075125000000002E-3</v>
      </c>
      <c r="BH125" s="546">
        <f t="shared" si="221"/>
        <v>1.508174752384446E-2</v>
      </c>
      <c r="BI125" s="546">
        <f t="shared" si="222"/>
        <v>2.5307068586029806E-3</v>
      </c>
      <c r="BJ125" s="546">
        <f t="shared" si="223"/>
        <v>1.1874709257279837E-2</v>
      </c>
      <c r="BK125">
        <f t="shared" si="224"/>
        <v>2.8999999999999998E-3</v>
      </c>
      <c r="BM125" s="472">
        <f t="shared" si="225"/>
        <v>35.094676139727277</v>
      </c>
      <c r="BN125" s="546">
        <f t="shared" si="226"/>
        <v>4.9500000000000004E-3</v>
      </c>
      <c r="BQ125" s="472">
        <f t="shared" si="227"/>
        <v>4.95</v>
      </c>
      <c r="BR125" s="546">
        <f t="shared" si="228"/>
        <v>1.5471500000000002E-3</v>
      </c>
      <c r="BS125" s="546">
        <f t="shared" si="229"/>
        <v>4.0595166666666646E-3</v>
      </c>
      <c r="BT125" s="546">
        <f t="shared" si="230"/>
        <v>1.3206707880900467E-3</v>
      </c>
      <c r="BU125" s="546"/>
      <c r="BV125" s="546">
        <f t="shared" si="231"/>
        <v>3.1499202127659581E-3</v>
      </c>
      <c r="BW125" s="472">
        <f t="shared" si="232"/>
        <v>10.077257667522668</v>
      </c>
      <c r="BX125" s="179">
        <f t="shared" si="233"/>
        <v>5.0121933807249948E-2</v>
      </c>
      <c r="BY125" s="6">
        <f t="shared" si="234"/>
        <v>0.39600000000000002</v>
      </c>
      <c r="BZ125" s="179">
        <f t="shared" si="235"/>
        <v>0.88764969841427821</v>
      </c>
      <c r="CA125" s="6">
        <f t="shared" si="236"/>
        <v>88.764969841427828</v>
      </c>
      <c r="CD125" s="581">
        <f t="shared" si="237"/>
        <v>-50</v>
      </c>
      <c r="CE125">
        <f t="shared" si="238"/>
        <v>-50</v>
      </c>
    </row>
    <row r="126" spans="5:83" x14ac:dyDescent="0.2">
      <c r="E126" s="176">
        <v>16</v>
      </c>
      <c r="F126" s="223">
        <f t="shared" si="239"/>
        <v>1.7600000000000001E-2</v>
      </c>
      <c r="G126" s="223"/>
      <c r="H126" s="223">
        <f t="shared" si="190"/>
        <v>0.4224</v>
      </c>
      <c r="I126" s="559">
        <f t="shared" si="191"/>
        <v>10</v>
      </c>
      <c r="J126" s="454">
        <f t="shared" si="192"/>
        <v>24.25</v>
      </c>
      <c r="K126" s="454">
        <f t="shared" si="193"/>
        <v>34.25</v>
      </c>
      <c r="L126" s="454"/>
      <c r="M126" s="223">
        <f t="shared" si="194"/>
        <v>0.70802919708029199</v>
      </c>
      <c r="N126" s="178">
        <f t="shared" si="240"/>
        <v>4.8765510948905106</v>
      </c>
      <c r="O126" s="178">
        <f t="shared" si="162"/>
        <v>0.4224</v>
      </c>
      <c r="P126" s="223">
        <f t="shared" si="195"/>
        <v>0.20318962895377127</v>
      </c>
      <c r="Q126" s="223">
        <f t="shared" si="196"/>
        <v>24</v>
      </c>
      <c r="R126" s="223"/>
      <c r="S126" s="178">
        <f t="shared" si="197"/>
        <v>381.34177877655685</v>
      </c>
      <c r="T126" s="178">
        <f t="shared" si="198"/>
        <v>24</v>
      </c>
      <c r="U126" s="223">
        <f t="shared" si="199"/>
        <v>0.12559696147585458</v>
      </c>
      <c r="V126" s="223">
        <f t="shared" si="200"/>
        <v>0.59030571893651651</v>
      </c>
      <c r="W126" s="223">
        <f t="shared" si="201"/>
        <v>0.24342503873670787</v>
      </c>
      <c r="X126" s="203">
        <f t="shared" si="202"/>
        <v>350</v>
      </c>
      <c r="Y126" s="454">
        <f t="shared" si="203"/>
        <v>350</v>
      </c>
      <c r="AA126" s="223">
        <f t="shared" si="204"/>
        <v>0.43041288576309544</v>
      </c>
      <c r="AB126" s="179">
        <f t="shared" si="205"/>
        <v>0.83420229405630864</v>
      </c>
      <c r="AC126" s="179">
        <f t="shared" si="206"/>
        <v>6.2833997921619769E-2</v>
      </c>
      <c r="AD126" s="179"/>
      <c r="AE126" s="179">
        <f t="shared" si="207"/>
        <v>0.56206185567010303</v>
      </c>
      <c r="AF126" s="563">
        <f t="shared" si="208"/>
        <v>215.95365193412104</v>
      </c>
      <c r="AG126" s="546">
        <f t="shared" si="209"/>
        <v>2.8524639175257726E-2</v>
      </c>
      <c r="AI126" s="179">
        <f t="shared" si="210"/>
        <v>0.22779503398362044</v>
      </c>
      <c r="AJ126" s="179">
        <f t="shared" si="211"/>
        <v>0.28999999999999998</v>
      </c>
      <c r="AK126" s="179">
        <f t="shared" si="212"/>
        <v>1.1234020868194978</v>
      </c>
      <c r="AM126" s="563">
        <f t="shared" si="213"/>
        <v>17.600000000000001</v>
      </c>
      <c r="AN126" s="472">
        <f t="shared" si="214"/>
        <v>215.95365193412104</v>
      </c>
      <c r="AP126" s="472">
        <f t="shared" si="215"/>
        <v>17.600000000000001</v>
      </c>
      <c r="AQ126" s="472">
        <f t="shared" si="216"/>
        <v>215.95365193412104</v>
      </c>
      <c r="AS126" s="6">
        <f t="shared" si="164"/>
        <v>4.6306232427366441</v>
      </c>
      <c r="AT126" s="6">
        <f t="shared" si="217"/>
        <v>1.363</v>
      </c>
      <c r="AU126" s="6">
        <f t="shared" si="218"/>
        <v>3.2676232427366441</v>
      </c>
      <c r="AV126" s="6"/>
      <c r="AW126" s="179">
        <f t="shared" si="219"/>
        <v>0.29434482758620695</v>
      </c>
      <c r="AX126" s="179">
        <f t="shared" si="142"/>
        <v>0.42680000000000007</v>
      </c>
      <c r="AY126" s="179">
        <f t="shared" si="143"/>
        <v>0.10231999999999998</v>
      </c>
      <c r="AZ126" s="179">
        <f t="shared" si="167"/>
        <v>4.1712275215011738</v>
      </c>
      <c r="BD126" s="179">
        <f t="shared" si="168"/>
        <v>9.0837583998401597E-2</v>
      </c>
      <c r="BE126" s="179">
        <f t="shared" si="146"/>
        <v>0.14064802404110291</v>
      </c>
      <c r="BG126" s="546">
        <f t="shared" si="220"/>
        <v>2.8880133333333328E-3</v>
      </c>
      <c r="BH126" s="546">
        <f t="shared" si="221"/>
        <v>1.6087197358767426E-2</v>
      </c>
      <c r="BI126" s="546">
        <f t="shared" si="222"/>
        <v>2.699420649176513E-3</v>
      </c>
      <c r="BJ126" s="546">
        <f t="shared" si="223"/>
        <v>1.2666356541098493E-2</v>
      </c>
      <c r="BK126">
        <f t="shared" si="224"/>
        <v>2.8999999999999998E-3</v>
      </c>
      <c r="BM126" s="472">
        <f t="shared" si="225"/>
        <v>37.240987882375762</v>
      </c>
      <c r="BN126" s="546">
        <f t="shared" si="226"/>
        <v>5.28E-3</v>
      </c>
      <c r="BQ126" s="472">
        <f t="shared" si="227"/>
        <v>5.28</v>
      </c>
      <c r="BR126" s="546">
        <f t="shared" si="228"/>
        <v>1.6502933333333331E-3</v>
      </c>
      <c r="BS126" s="546">
        <f t="shared" si="229"/>
        <v>3.9563733333333323E-3</v>
      </c>
      <c r="BT126" s="546">
        <f t="shared" si="230"/>
        <v>1.551909461134715E-3</v>
      </c>
      <c r="BU126" s="546"/>
      <c r="BV126" s="546">
        <f t="shared" si="231"/>
        <v>3.3599148936170223E-3</v>
      </c>
      <c r="BW126" s="472">
        <f t="shared" si="232"/>
        <v>10.518491021418404</v>
      </c>
      <c r="BX126" s="179">
        <f t="shared" si="233"/>
        <v>5.3039478903794159E-2</v>
      </c>
      <c r="BY126" s="6">
        <f t="shared" si="234"/>
        <v>0.4224</v>
      </c>
      <c r="BZ126" s="179">
        <f t="shared" si="235"/>
        <v>0.88844115548400471</v>
      </c>
      <c r="CA126" s="6">
        <f t="shared" si="236"/>
        <v>88.844115548400467</v>
      </c>
      <c r="CD126" s="581">
        <f t="shared" si="237"/>
        <v>-50</v>
      </c>
      <c r="CE126">
        <f t="shared" si="238"/>
        <v>-50</v>
      </c>
    </row>
    <row r="127" spans="5:83" x14ac:dyDescent="0.2">
      <c r="E127" s="176">
        <v>17</v>
      </c>
      <c r="F127" s="223">
        <f t="shared" si="239"/>
        <v>1.8700000000000001E-2</v>
      </c>
      <c r="G127" s="223"/>
      <c r="H127" s="223">
        <f t="shared" si="190"/>
        <v>0.44880000000000003</v>
      </c>
      <c r="I127" s="559">
        <f t="shared" si="191"/>
        <v>10</v>
      </c>
      <c r="J127" s="454">
        <f t="shared" si="192"/>
        <v>24.25</v>
      </c>
      <c r="K127" s="454">
        <f t="shared" si="193"/>
        <v>34.25</v>
      </c>
      <c r="L127" s="454"/>
      <c r="M127" s="223">
        <f t="shared" si="194"/>
        <v>0.70802919708029199</v>
      </c>
      <c r="N127" s="178">
        <f t="shared" si="240"/>
        <v>4.8765510948905106</v>
      </c>
      <c r="O127" s="178">
        <f t="shared" si="162"/>
        <v>0.44880000000000003</v>
      </c>
      <c r="P127" s="223">
        <f t="shared" si="195"/>
        <v>0.20318962895377127</v>
      </c>
      <c r="Q127" s="223">
        <f t="shared" si="196"/>
        <v>24</v>
      </c>
      <c r="R127" s="223"/>
      <c r="S127" s="178">
        <f t="shared" si="197"/>
        <v>358.32248011249794</v>
      </c>
      <c r="T127" s="178">
        <f t="shared" si="198"/>
        <v>24</v>
      </c>
      <c r="U127" s="223">
        <f t="shared" si="199"/>
        <v>0.13344677156809551</v>
      </c>
      <c r="V127" s="223">
        <f t="shared" si="200"/>
        <v>0.62719982637004879</v>
      </c>
      <c r="W127" s="223">
        <f t="shared" si="201"/>
        <v>0.25863910365775206</v>
      </c>
      <c r="X127" s="203">
        <f t="shared" si="202"/>
        <v>350</v>
      </c>
      <c r="Y127" s="454">
        <f t="shared" si="203"/>
        <v>350</v>
      </c>
      <c r="AA127" s="223">
        <f t="shared" si="204"/>
        <v>0.43041288576309544</v>
      </c>
      <c r="AB127" s="179">
        <f t="shared" si="205"/>
        <v>0.83420229405630864</v>
      </c>
      <c r="AC127" s="179">
        <f t="shared" si="206"/>
        <v>6.2833997921619769E-2</v>
      </c>
      <c r="AD127" s="179"/>
      <c r="AE127" s="179">
        <f t="shared" si="207"/>
        <v>0.56206185567010303</v>
      </c>
      <c r="AF127" s="563">
        <f t="shared" si="208"/>
        <v>229.45075518000363</v>
      </c>
      <c r="AG127" s="546">
        <f t="shared" si="209"/>
        <v>2.8524639175257726E-2</v>
      </c>
      <c r="AI127" s="179">
        <f t="shared" si="210"/>
        <v>0.2348057465264079</v>
      </c>
      <c r="AJ127" s="179">
        <f t="shared" si="211"/>
        <v>0.28999999999999998</v>
      </c>
      <c r="AK127" s="179">
        <f t="shared" si="212"/>
        <v>1.1311147172457163</v>
      </c>
      <c r="AM127" s="563">
        <f t="shared" si="213"/>
        <v>18.700000000000003</v>
      </c>
      <c r="AN127" s="472">
        <f t="shared" si="214"/>
        <v>229.45075518000363</v>
      </c>
      <c r="AP127" s="472">
        <f t="shared" si="215"/>
        <v>18.700000000000003</v>
      </c>
      <c r="AQ127" s="472">
        <f t="shared" si="216"/>
        <v>229.45075518000363</v>
      </c>
      <c r="AS127" s="6">
        <f t="shared" si="164"/>
        <v>4.3582336402227231</v>
      </c>
      <c r="AT127" s="6">
        <f t="shared" si="217"/>
        <v>1.363</v>
      </c>
      <c r="AU127" s="6">
        <f t="shared" si="218"/>
        <v>2.9952336402227231</v>
      </c>
      <c r="AV127" s="6"/>
      <c r="AW127" s="179">
        <f t="shared" si="219"/>
        <v>0.3127413793103449</v>
      </c>
      <c r="AX127" s="179">
        <f t="shared" si="142"/>
        <v>0.45347500000000013</v>
      </c>
      <c r="AY127" s="179">
        <f t="shared" si="143"/>
        <v>9.9652499999999991E-2</v>
      </c>
      <c r="AZ127" s="179">
        <f t="shared" si="167"/>
        <v>4.5505632071448296</v>
      </c>
      <c r="BD127" s="179">
        <f t="shared" si="168"/>
        <v>9.3633238400331609E-2</v>
      </c>
      <c r="BE127" s="179">
        <f t="shared" si="146"/>
        <v>0.13880255761332352</v>
      </c>
      <c r="BG127" s="546">
        <f t="shared" si="220"/>
        <v>3.0685141666666671E-3</v>
      </c>
      <c r="BH127" s="546">
        <f t="shared" si="221"/>
        <v>1.7092647193690393E-2</v>
      </c>
      <c r="BI127" s="546">
        <f t="shared" si="222"/>
        <v>2.8681344397500455E-3</v>
      </c>
      <c r="BJ127" s="546">
        <f t="shared" si="223"/>
        <v>1.345800382491715E-2</v>
      </c>
      <c r="BK127">
        <f t="shared" si="224"/>
        <v>2.8999999999999998E-3</v>
      </c>
      <c r="BM127" s="472">
        <f t="shared" si="225"/>
        <v>39.387299625024255</v>
      </c>
      <c r="BN127" s="546">
        <f t="shared" si="226"/>
        <v>5.6100000000000004E-3</v>
      </c>
      <c r="BQ127" s="472">
        <f t="shared" si="227"/>
        <v>5.61</v>
      </c>
      <c r="BR127" s="546">
        <f t="shared" si="228"/>
        <v>1.7534366666666669E-3</v>
      </c>
      <c r="BS127" s="546">
        <f t="shared" si="229"/>
        <v>3.8532299999999992E-3</v>
      </c>
      <c r="BT127" s="546">
        <f t="shared" si="230"/>
        <v>1.8058793320019082E-3</v>
      </c>
      <c r="BU127" s="546"/>
      <c r="BV127" s="546">
        <f t="shared" si="231"/>
        <v>3.5699095744680864E-3</v>
      </c>
      <c r="BW127" s="472">
        <f t="shared" si="232"/>
        <v>10.982455573136662</v>
      </c>
      <c r="BX127" s="179">
        <f t="shared" si="233"/>
        <v>5.5979755198160917E-2</v>
      </c>
      <c r="BY127" s="6">
        <f t="shared" si="234"/>
        <v>0.44880000000000003</v>
      </c>
      <c r="BZ127" s="179">
        <f t="shared" si="235"/>
        <v>0.88910063325304112</v>
      </c>
      <c r="CA127" s="6">
        <f t="shared" si="236"/>
        <v>88.910063325304108</v>
      </c>
      <c r="CD127" s="581">
        <f t="shared" si="237"/>
        <v>-50</v>
      </c>
      <c r="CE127">
        <f t="shared" si="238"/>
        <v>-50</v>
      </c>
    </row>
    <row r="128" spans="5:83" x14ac:dyDescent="0.2">
      <c r="E128" s="176">
        <v>18</v>
      </c>
      <c r="F128" s="223">
        <f t="shared" si="239"/>
        <v>1.9799999999999998E-2</v>
      </c>
      <c r="G128" s="223"/>
      <c r="H128" s="223">
        <f t="shared" si="190"/>
        <v>0.47519999999999996</v>
      </c>
      <c r="I128" s="559">
        <f t="shared" si="191"/>
        <v>10</v>
      </c>
      <c r="J128" s="454">
        <f t="shared" si="192"/>
        <v>24.25</v>
      </c>
      <c r="K128" s="454">
        <f t="shared" si="193"/>
        <v>34.25</v>
      </c>
      <c r="L128" s="454"/>
      <c r="M128" s="223">
        <f t="shared" si="194"/>
        <v>0.70802919708029199</v>
      </c>
      <c r="N128" s="178">
        <f t="shared" si="240"/>
        <v>4.8765510948905106</v>
      </c>
      <c r="O128" s="178">
        <f t="shared" si="162"/>
        <v>0.47519999999999996</v>
      </c>
      <c r="P128" s="223">
        <f t="shared" si="195"/>
        <v>0.20318962895377127</v>
      </c>
      <c r="Q128" s="223">
        <f t="shared" si="196"/>
        <v>24</v>
      </c>
      <c r="R128" s="223"/>
      <c r="S128" s="178">
        <f t="shared" si="197"/>
        <v>337.8609293765698</v>
      </c>
      <c r="T128" s="178">
        <f t="shared" si="198"/>
        <v>24</v>
      </c>
      <c r="U128" s="223">
        <f t="shared" si="199"/>
        <v>0.1412965816603364</v>
      </c>
      <c r="V128" s="223">
        <f t="shared" si="200"/>
        <v>0.66409393380358106</v>
      </c>
      <c r="W128" s="223">
        <f t="shared" si="201"/>
        <v>0.27385316857879627</v>
      </c>
      <c r="X128" s="203">
        <f t="shared" si="202"/>
        <v>350</v>
      </c>
      <c r="Y128" s="454">
        <f t="shared" si="203"/>
        <v>350</v>
      </c>
      <c r="AA128" s="223">
        <f t="shared" si="204"/>
        <v>0.43041288576309544</v>
      </c>
      <c r="AB128" s="179">
        <f t="shared" si="205"/>
        <v>0.83420229405630864</v>
      </c>
      <c r="AC128" s="179">
        <f t="shared" si="206"/>
        <v>6.2833997921619769E-2</v>
      </c>
      <c r="AD128" s="179"/>
      <c r="AE128" s="179">
        <f t="shared" si="207"/>
        <v>0.56206185567010303</v>
      </c>
      <c r="AF128" s="563">
        <f t="shared" si="208"/>
        <v>242.94785842588612</v>
      </c>
      <c r="AG128" s="546">
        <f t="shared" si="209"/>
        <v>2.8524639175257726E-2</v>
      </c>
      <c r="AI128" s="179">
        <f t="shared" si="210"/>
        <v>0.24161311987565706</v>
      </c>
      <c r="AJ128" s="179">
        <f t="shared" si="211"/>
        <v>0.28999999999999998</v>
      </c>
      <c r="AK128" s="179">
        <f t="shared" si="212"/>
        <v>1.1388273476719348</v>
      </c>
      <c r="AM128" s="563">
        <f t="shared" si="213"/>
        <v>19.799999999999997</v>
      </c>
      <c r="AN128" s="472">
        <f t="shared" si="214"/>
        <v>242.94785842588612</v>
      </c>
      <c r="AP128" s="472">
        <f t="shared" si="215"/>
        <v>19.799999999999997</v>
      </c>
      <c r="AQ128" s="472">
        <f t="shared" si="216"/>
        <v>242.94785842588612</v>
      </c>
      <c r="AS128" s="6">
        <f t="shared" si="164"/>
        <v>4.1161095490992397</v>
      </c>
      <c r="AT128" s="6">
        <f t="shared" si="217"/>
        <v>1.363</v>
      </c>
      <c r="AU128" s="6">
        <f t="shared" si="218"/>
        <v>2.7531095490992397</v>
      </c>
      <c r="AV128" s="6"/>
      <c r="AW128" s="179">
        <f t="shared" si="219"/>
        <v>0.33113793103448275</v>
      </c>
      <c r="AX128" s="179">
        <f t="shared" si="142"/>
        <v>0.48014999999999997</v>
      </c>
      <c r="AY128" s="179">
        <f t="shared" si="143"/>
        <v>9.6985000000000002E-2</v>
      </c>
      <c r="AZ128" s="179">
        <f t="shared" si="167"/>
        <v>4.9507655823065422</v>
      </c>
      <c r="BD128" s="179">
        <f t="shared" si="168"/>
        <v>9.6347807447808589E-2</v>
      </c>
      <c r="BE128" s="179">
        <f t="shared" si="146"/>
        <v>0.13693222167675995</v>
      </c>
      <c r="BG128" s="546">
        <f t="shared" si="220"/>
        <v>3.2490150000000001E-3</v>
      </c>
      <c r="BH128" s="546">
        <f t="shared" si="221"/>
        <v>1.8098097028613352E-2</v>
      </c>
      <c r="BI128" s="546">
        <f t="shared" si="222"/>
        <v>3.0368482303235766E-3</v>
      </c>
      <c r="BJ128" s="546">
        <f t="shared" si="223"/>
        <v>1.4249651108735802E-2</v>
      </c>
      <c r="BK128">
        <f t="shared" si="224"/>
        <v>2.8999999999999998E-3</v>
      </c>
      <c r="BM128" s="472">
        <f t="shared" si="225"/>
        <v>41.533611367672734</v>
      </c>
      <c r="BN128" s="546">
        <f t="shared" si="226"/>
        <v>5.9399999999999991E-3</v>
      </c>
      <c r="BQ128" s="472">
        <f t="shared" si="227"/>
        <v>5.9399999999999995</v>
      </c>
      <c r="BR128" s="546">
        <f t="shared" si="228"/>
        <v>1.85658E-3</v>
      </c>
      <c r="BS128" s="546">
        <f t="shared" si="229"/>
        <v>3.7500866666666656E-3</v>
      </c>
      <c r="BT128" s="546">
        <f t="shared" si="230"/>
        <v>2.0832802032241231E-3</v>
      </c>
      <c r="BU128" s="546"/>
      <c r="BV128" s="546">
        <f t="shared" si="231"/>
        <v>3.7799042553191492E-3</v>
      </c>
      <c r="BW128" s="472">
        <f t="shared" si="232"/>
        <v>11.469851125209939</v>
      </c>
      <c r="BX128" s="179">
        <f t="shared" si="233"/>
        <v>5.8943462492882674E-2</v>
      </c>
      <c r="BY128" s="6">
        <f t="shared" si="234"/>
        <v>0.47519999999999996</v>
      </c>
      <c r="BZ128" s="179">
        <f t="shared" si="235"/>
        <v>0.88964863069223088</v>
      </c>
      <c r="CA128" s="6">
        <f t="shared" si="236"/>
        <v>88.964863069223085</v>
      </c>
      <c r="CD128" s="581">
        <f t="shared" si="237"/>
        <v>-50</v>
      </c>
      <c r="CE128">
        <f t="shared" si="238"/>
        <v>-50</v>
      </c>
    </row>
    <row r="129" spans="5:83" x14ac:dyDescent="0.2">
      <c r="E129" s="176">
        <v>19</v>
      </c>
      <c r="F129" s="223">
        <f t="shared" si="239"/>
        <v>2.0900000000000002E-2</v>
      </c>
      <c r="G129" s="223"/>
      <c r="H129" s="223">
        <f t="shared" si="190"/>
        <v>0.50160000000000005</v>
      </c>
      <c r="I129" s="559">
        <f t="shared" si="191"/>
        <v>10</v>
      </c>
      <c r="J129" s="454">
        <f t="shared" si="192"/>
        <v>24.25</v>
      </c>
      <c r="K129" s="454">
        <f t="shared" si="193"/>
        <v>34.25</v>
      </c>
      <c r="L129" s="454"/>
      <c r="M129" s="223">
        <f t="shared" si="194"/>
        <v>0.70802919708029199</v>
      </c>
      <c r="N129" s="178">
        <f t="shared" si="240"/>
        <v>4.8765510948905106</v>
      </c>
      <c r="O129" s="178">
        <f t="shared" si="162"/>
        <v>0.50160000000000005</v>
      </c>
      <c r="P129" s="223">
        <f t="shared" si="195"/>
        <v>0.20318962895377127</v>
      </c>
      <c r="Q129" s="223">
        <f t="shared" si="196"/>
        <v>24</v>
      </c>
      <c r="R129" s="223"/>
      <c r="S129" s="178">
        <f t="shared" si="197"/>
        <v>319.5532718513424</v>
      </c>
      <c r="T129" s="178">
        <f t="shared" si="198"/>
        <v>24</v>
      </c>
      <c r="U129" s="223">
        <f t="shared" si="199"/>
        <v>0.14914639175257732</v>
      </c>
      <c r="V129" s="223">
        <f t="shared" si="200"/>
        <v>0.70098804123711345</v>
      </c>
      <c r="W129" s="223">
        <f t="shared" si="201"/>
        <v>0.28906723349984054</v>
      </c>
      <c r="X129" s="203">
        <f t="shared" si="202"/>
        <v>350</v>
      </c>
      <c r="Y129" s="454">
        <f t="shared" si="203"/>
        <v>350</v>
      </c>
      <c r="AA129" s="223">
        <f t="shared" si="204"/>
        <v>0.43041288576309544</v>
      </c>
      <c r="AB129" s="179">
        <f t="shared" si="205"/>
        <v>0.83420229405630864</v>
      </c>
      <c r="AC129" s="179">
        <f t="shared" si="206"/>
        <v>6.2833997921619769E-2</v>
      </c>
      <c r="AD129" s="179"/>
      <c r="AE129" s="179">
        <f t="shared" si="207"/>
        <v>0.56206185567010303</v>
      </c>
      <c r="AF129" s="563">
        <f t="shared" si="208"/>
        <v>256.44496167176874</v>
      </c>
      <c r="AG129" s="546">
        <f t="shared" si="209"/>
        <v>2.8524639175257726E-2</v>
      </c>
      <c r="AI129" s="179">
        <f t="shared" si="210"/>
        <v>0.24823388324375376</v>
      </c>
      <c r="AJ129" s="179">
        <f t="shared" si="211"/>
        <v>0.28999999999999998</v>
      </c>
      <c r="AK129" s="179">
        <f t="shared" si="212"/>
        <v>1.1465399780981536</v>
      </c>
      <c r="AM129" s="563">
        <f t="shared" si="213"/>
        <v>20.900000000000002</v>
      </c>
      <c r="AN129" s="472">
        <f t="shared" si="214"/>
        <v>256.44496167176874</v>
      </c>
      <c r="AP129" s="472">
        <f t="shared" si="215"/>
        <v>20.900000000000002</v>
      </c>
      <c r="AQ129" s="472">
        <f t="shared" si="216"/>
        <v>256.44496167176874</v>
      </c>
      <c r="AS129" s="6">
        <f t="shared" si="164"/>
        <v>3.8994722044098054</v>
      </c>
      <c r="AT129" s="6">
        <f t="shared" si="217"/>
        <v>1.363</v>
      </c>
      <c r="AU129" s="6">
        <f t="shared" si="218"/>
        <v>2.5364722044098054</v>
      </c>
      <c r="AV129" s="6"/>
      <c r="AW129" s="179">
        <f t="shared" si="219"/>
        <v>0.34953448275862076</v>
      </c>
      <c r="AX129" s="179">
        <f t="shared" si="142"/>
        <v>0.50682500000000008</v>
      </c>
      <c r="AY129" s="179">
        <f t="shared" si="143"/>
        <v>9.4317499999999985E-2</v>
      </c>
      <c r="AZ129" s="179">
        <f t="shared" si="167"/>
        <v>5.3736051103983904</v>
      </c>
      <c r="BD129" s="179">
        <f t="shared" si="168"/>
        <v>9.8987962231104995E-2</v>
      </c>
      <c r="BE129" s="179">
        <f t="shared" si="146"/>
        <v>0.13503598285889085</v>
      </c>
      <c r="BG129" s="546">
        <f t="shared" si="220"/>
        <v>3.4295158333333339E-3</v>
      </c>
      <c r="BH129" s="546">
        <f t="shared" si="221"/>
        <v>1.9103546863536318E-2</v>
      </c>
      <c r="BI129" s="546">
        <f t="shared" si="222"/>
        <v>3.2055620208971095E-3</v>
      </c>
      <c r="BJ129" s="546">
        <f t="shared" si="223"/>
        <v>1.5041298392554461E-2</v>
      </c>
      <c r="BK129">
        <f t="shared" si="224"/>
        <v>2.8999999999999998E-3</v>
      </c>
      <c r="BM129" s="472">
        <f t="shared" si="225"/>
        <v>43.679923110321219</v>
      </c>
      <c r="BN129" s="546">
        <f t="shared" si="226"/>
        <v>6.2700000000000004E-3</v>
      </c>
      <c r="BQ129" s="472">
        <f t="shared" si="227"/>
        <v>6.2700000000000005</v>
      </c>
      <c r="BR129" s="546">
        <f t="shared" si="228"/>
        <v>1.959723333333334E-3</v>
      </c>
      <c r="BS129" s="546">
        <f t="shared" si="229"/>
        <v>3.6469433333333324E-3</v>
      </c>
      <c r="BT129" s="546">
        <f t="shared" si="230"/>
        <v>2.3847915628227813E-3</v>
      </c>
      <c r="BU129" s="546"/>
      <c r="BV129" s="546">
        <f t="shared" si="231"/>
        <v>3.9898989361702138E-3</v>
      </c>
      <c r="BW129" s="472">
        <f t="shared" si="232"/>
        <v>11.981357165659661</v>
      </c>
      <c r="BX129" s="179">
        <f t="shared" si="233"/>
        <v>6.1931280275980882E-2</v>
      </c>
      <c r="BY129" s="6">
        <f t="shared" si="234"/>
        <v>0.50160000000000005</v>
      </c>
      <c r="BZ129" s="179">
        <f t="shared" si="235"/>
        <v>0.89010143279774834</v>
      </c>
      <c r="CA129" s="6">
        <f t="shared" si="236"/>
        <v>89.010143279774837</v>
      </c>
      <c r="CD129" s="581">
        <f t="shared" si="237"/>
        <v>-50</v>
      </c>
      <c r="CE129">
        <f t="shared" si="238"/>
        <v>-50</v>
      </c>
    </row>
    <row r="130" spans="5:83" x14ac:dyDescent="0.2">
      <c r="E130" s="176">
        <v>20</v>
      </c>
      <c r="F130" s="223">
        <f t="shared" si="239"/>
        <v>2.2000000000000002E-2</v>
      </c>
      <c r="G130" s="223"/>
      <c r="H130" s="223">
        <f t="shared" si="190"/>
        <v>0.52800000000000002</v>
      </c>
      <c r="I130" s="559">
        <f t="shared" si="191"/>
        <v>10</v>
      </c>
      <c r="J130" s="454">
        <f t="shared" si="192"/>
        <v>24.25</v>
      </c>
      <c r="K130" s="454">
        <f t="shared" si="193"/>
        <v>34.25</v>
      </c>
      <c r="L130" s="454"/>
      <c r="M130" s="223">
        <f t="shared" si="194"/>
        <v>0.70802919708029199</v>
      </c>
      <c r="N130" s="178">
        <f t="shared" si="240"/>
        <v>4.8765510948905106</v>
      </c>
      <c r="O130" s="178">
        <f t="shared" si="162"/>
        <v>0.52800000000000002</v>
      </c>
      <c r="P130" s="223">
        <f t="shared" si="195"/>
        <v>0.20318962895377127</v>
      </c>
      <c r="Q130" s="223">
        <f t="shared" si="196"/>
        <v>24</v>
      </c>
      <c r="R130" s="223"/>
      <c r="S130" s="178">
        <f t="shared" si="197"/>
        <v>303.07642376416516</v>
      </c>
      <c r="T130" s="178">
        <f t="shared" si="198"/>
        <v>24</v>
      </c>
      <c r="U130" s="223">
        <f t="shared" si="199"/>
        <v>0.15699620184481825</v>
      </c>
      <c r="V130" s="223">
        <f t="shared" si="200"/>
        <v>0.73788214867064572</v>
      </c>
      <c r="W130" s="223">
        <f t="shared" si="201"/>
        <v>0.30428129842088486</v>
      </c>
      <c r="X130" s="203">
        <f t="shared" si="202"/>
        <v>350</v>
      </c>
      <c r="Y130" s="454">
        <f t="shared" si="203"/>
        <v>350</v>
      </c>
      <c r="AA130" s="223">
        <f t="shared" si="204"/>
        <v>0.43041288576309544</v>
      </c>
      <c r="AB130" s="179">
        <f t="shared" si="205"/>
        <v>0.83420229405630864</v>
      </c>
      <c r="AC130" s="179">
        <f t="shared" si="206"/>
        <v>6.2833997921619769E-2</v>
      </c>
      <c r="AD130" s="179"/>
      <c r="AE130" s="179">
        <f t="shared" si="207"/>
        <v>0.56206185567010303</v>
      </c>
      <c r="AF130" s="563">
        <f t="shared" si="208"/>
        <v>269.94206491765129</v>
      </c>
      <c r="AG130" s="546">
        <f t="shared" si="209"/>
        <v>2.8524639175257726E-2</v>
      </c>
      <c r="AI130" s="179">
        <f t="shared" si="210"/>
        <v>0.25468259046212505</v>
      </c>
      <c r="AJ130" s="179">
        <f t="shared" si="211"/>
        <v>0.28999999999999998</v>
      </c>
      <c r="AK130" s="179">
        <f t="shared" si="212"/>
        <v>1.1542526085243723</v>
      </c>
      <c r="AM130" s="563">
        <f t="shared" si="213"/>
        <v>22.000000000000004</v>
      </c>
      <c r="AN130" s="472">
        <f t="shared" si="214"/>
        <v>269.94206491765129</v>
      </c>
      <c r="AP130" s="472">
        <f t="shared" si="215"/>
        <v>22.000000000000004</v>
      </c>
      <c r="AQ130" s="472">
        <f t="shared" si="216"/>
        <v>269.94206491765129</v>
      </c>
      <c r="AS130" s="6">
        <f t="shared" si="164"/>
        <v>3.7044985941893152</v>
      </c>
      <c r="AT130" s="6">
        <f t="shared" si="217"/>
        <v>1.363</v>
      </c>
      <c r="AU130" s="6">
        <f t="shared" si="218"/>
        <v>2.3414985941893152</v>
      </c>
      <c r="AV130" s="6"/>
      <c r="AW130" s="179">
        <f t="shared" si="219"/>
        <v>0.36793103448275871</v>
      </c>
      <c r="AX130" s="179">
        <f t="shared" si="142"/>
        <v>0.53349999999999997</v>
      </c>
      <c r="AY130" s="179">
        <f t="shared" si="143"/>
        <v>9.1649999999999995E-2</v>
      </c>
      <c r="AZ130" s="179">
        <f t="shared" si="167"/>
        <v>5.8210583742498638</v>
      </c>
      <c r="BD130" s="179">
        <f t="shared" si="168"/>
        <v>0.10155950636613656</v>
      </c>
      <c r="BE130" s="179">
        <f t="shared" si="146"/>
        <v>0.13311273417671202</v>
      </c>
      <c r="BG130" s="546">
        <f t="shared" si="220"/>
        <v>3.6100166666666656E-3</v>
      </c>
      <c r="BH130" s="546">
        <f t="shared" si="221"/>
        <v>2.0108996698459284E-2</v>
      </c>
      <c r="BI130" s="546">
        <f t="shared" si="222"/>
        <v>3.374275811470641E-3</v>
      </c>
      <c r="BJ130" s="546">
        <f t="shared" si="223"/>
        <v>1.5832945676373118E-2</v>
      </c>
      <c r="BK130">
        <f t="shared" si="224"/>
        <v>2.8999999999999998E-3</v>
      </c>
      <c r="BM130" s="472">
        <f t="shared" si="225"/>
        <v>45.826234852969712</v>
      </c>
      <c r="BN130" s="546">
        <f t="shared" si="226"/>
        <v>6.6000000000000008E-3</v>
      </c>
      <c r="BQ130" s="472">
        <f t="shared" si="227"/>
        <v>6.6000000000000005</v>
      </c>
      <c r="BR130" s="546">
        <f t="shared" si="228"/>
        <v>2.0628666666666663E-3</v>
      </c>
      <c r="BS130" s="546">
        <f t="shared" si="229"/>
        <v>3.5437999999999993E-3</v>
      </c>
      <c r="BT130" s="546">
        <f t="shared" si="230"/>
        <v>2.7110742578299128E-3</v>
      </c>
      <c r="BU130" s="546"/>
      <c r="BV130" s="546">
        <f t="shared" si="231"/>
        <v>4.1998936170212775E-3</v>
      </c>
      <c r="BW130" s="472">
        <f t="shared" si="232"/>
        <v>12.517634541517856</v>
      </c>
      <c r="BX130" s="179">
        <f t="shared" si="233"/>
        <v>6.4943869394487569E-2</v>
      </c>
      <c r="BY130" s="6">
        <f t="shared" si="234"/>
        <v>0.52800000000000002</v>
      </c>
      <c r="BZ130" s="179">
        <f t="shared" si="235"/>
        <v>0.89047214627447269</v>
      </c>
      <c r="CA130" s="6">
        <f t="shared" si="236"/>
        <v>89.047214627447275</v>
      </c>
      <c r="CD130" s="581">
        <f t="shared" si="237"/>
        <v>-50</v>
      </c>
      <c r="CE130">
        <f t="shared" si="238"/>
        <v>-50</v>
      </c>
    </row>
    <row r="131" spans="5:83" x14ac:dyDescent="0.2">
      <c r="E131" s="176">
        <v>21</v>
      </c>
      <c r="F131" s="223">
        <f t="shared" si="239"/>
        <v>2.3099999999999999E-2</v>
      </c>
      <c r="G131" s="223"/>
      <c r="H131" s="223">
        <f t="shared" si="190"/>
        <v>0.5544</v>
      </c>
      <c r="I131" s="559">
        <f t="shared" si="191"/>
        <v>10</v>
      </c>
      <c r="J131" s="454">
        <f t="shared" si="192"/>
        <v>24.25</v>
      </c>
      <c r="K131" s="454">
        <f t="shared" si="193"/>
        <v>34.25</v>
      </c>
      <c r="L131" s="454"/>
      <c r="M131" s="223">
        <f t="shared" si="194"/>
        <v>0.70802919708029199</v>
      </c>
      <c r="N131" s="178">
        <f t="shared" si="240"/>
        <v>4.8765510948905106</v>
      </c>
      <c r="O131" s="178">
        <f t="shared" si="162"/>
        <v>0.5544</v>
      </c>
      <c r="P131" s="223">
        <f t="shared" si="195"/>
        <v>0.20318962895377127</v>
      </c>
      <c r="Q131" s="223">
        <f t="shared" si="196"/>
        <v>24</v>
      </c>
      <c r="R131" s="223"/>
      <c r="S131" s="178">
        <f t="shared" si="197"/>
        <v>288.16884110984796</v>
      </c>
      <c r="T131" s="178">
        <f t="shared" si="198"/>
        <v>24</v>
      </c>
      <c r="U131" s="223">
        <f t="shared" si="199"/>
        <v>0.16484601193705914</v>
      </c>
      <c r="V131" s="223">
        <f t="shared" si="200"/>
        <v>0.774776256104178</v>
      </c>
      <c r="W131" s="223">
        <f t="shared" si="201"/>
        <v>0.31949536334192907</v>
      </c>
      <c r="X131" s="203">
        <f t="shared" si="202"/>
        <v>350</v>
      </c>
      <c r="Y131" s="454">
        <f t="shared" si="203"/>
        <v>350</v>
      </c>
      <c r="AA131" s="223">
        <f t="shared" si="204"/>
        <v>0.43041288576309544</v>
      </c>
      <c r="AB131" s="179">
        <f t="shared" si="205"/>
        <v>0.83420229405630864</v>
      </c>
      <c r="AC131" s="179">
        <f t="shared" si="206"/>
        <v>6.2833997921619769E-2</v>
      </c>
      <c r="AD131" s="179"/>
      <c r="AE131" s="179">
        <f t="shared" si="207"/>
        <v>0.56206185567010303</v>
      </c>
      <c r="AF131" s="563">
        <f t="shared" si="208"/>
        <v>283.43916816353385</v>
      </c>
      <c r="AG131" s="546">
        <f t="shared" si="209"/>
        <v>2.8524639175257726E-2</v>
      </c>
      <c r="AI131" s="179">
        <f t="shared" si="210"/>
        <v>0.26097199654124464</v>
      </c>
      <c r="AJ131" s="179">
        <f t="shared" si="211"/>
        <v>0.28999999999999998</v>
      </c>
      <c r="AK131" s="179">
        <f t="shared" si="212"/>
        <v>1.1619652389505908</v>
      </c>
      <c r="AM131" s="563">
        <f t="shared" si="213"/>
        <v>23.099999999999998</v>
      </c>
      <c r="AN131" s="472">
        <f t="shared" si="214"/>
        <v>283.43916816353385</v>
      </c>
      <c r="AP131" s="472">
        <f t="shared" si="215"/>
        <v>23.099999999999998</v>
      </c>
      <c r="AQ131" s="472">
        <f t="shared" si="216"/>
        <v>283.43916816353385</v>
      </c>
      <c r="AS131" s="6">
        <f t="shared" si="164"/>
        <v>3.5280938992279189</v>
      </c>
      <c r="AT131" s="6">
        <f t="shared" si="217"/>
        <v>1.363</v>
      </c>
      <c r="AU131" s="6">
        <f t="shared" si="218"/>
        <v>2.1650938992279189</v>
      </c>
      <c r="AV131" s="6"/>
      <c r="AW131" s="179">
        <f t="shared" si="219"/>
        <v>0.38632758620689667</v>
      </c>
      <c r="AX131" s="179">
        <f t="shared" si="142"/>
        <v>0.56017499999999998</v>
      </c>
      <c r="AY131" s="179">
        <f t="shared" si="143"/>
        <v>8.8982499999999978E-2</v>
      </c>
      <c r="AZ131" s="179">
        <f t="shared" si="167"/>
        <v>6.2953389711460135</v>
      </c>
      <c r="BD131" s="179">
        <f t="shared" si="168"/>
        <v>0.10406752615489619</v>
      </c>
      <c r="BE131" s="179">
        <f t="shared" si="146"/>
        <v>0.13116128747970313</v>
      </c>
      <c r="BG131" s="546">
        <f t="shared" si="220"/>
        <v>3.7905175000000008E-3</v>
      </c>
      <c r="BH131" s="546">
        <f t="shared" si="221"/>
        <v>2.1114446533382247E-2</v>
      </c>
      <c r="BI131" s="546">
        <f t="shared" si="222"/>
        <v>3.5429896020441731E-3</v>
      </c>
      <c r="BJ131" s="546">
        <f t="shared" si="223"/>
        <v>1.662459296019177E-2</v>
      </c>
      <c r="BK131">
        <f t="shared" si="224"/>
        <v>2.8999999999999998E-3</v>
      </c>
      <c r="BM131" s="472">
        <f t="shared" si="225"/>
        <v>47.972546595618184</v>
      </c>
      <c r="BN131" s="546">
        <f t="shared" si="226"/>
        <v>6.9299999999999995E-3</v>
      </c>
      <c r="BQ131" s="472">
        <f t="shared" si="227"/>
        <v>6.93</v>
      </c>
      <c r="BR131" s="546">
        <f t="shared" si="228"/>
        <v>2.1660100000000008E-3</v>
      </c>
      <c r="BS131" s="546">
        <f t="shared" si="229"/>
        <v>3.4406566666666662E-3</v>
      </c>
      <c r="BT131" s="546">
        <f t="shared" si="230"/>
        <v>3.0627719498235056E-3</v>
      </c>
      <c r="BU131" s="546"/>
      <c r="BV131" s="546">
        <f t="shared" si="231"/>
        <v>4.4098882978723412E-3</v>
      </c>
      <c r="BW131" s="472">
        <f t="shared" si="232"/>
        <v>13.079326914362515</v>
      </c>
      <c r="BX131" s="179">
        <f t="shared" si="233"/>
        <v>6.7981873509980695E-2</v>
      </c>
      <c r="BY131" s="6">
        <f t="shared" si="234"/>
        <v>0.5544</v>
      </c>
      <c r="BZ131" s="179">
        <f t="shared" si="235"/>
        <v>0.89077144370129147</v>
      </c>
      <c r="CA131" s="6">
        <f t="shared" si="236"/>
        <v>89.077144370129147</v>
      </c>
      <c r="CD131" s="581">
        <f t="shared" si="237"/>
        <v>-50</v>
      </c>
      <c r="CE131">
        <f t="shared" si="238"/>
        <v>-50</v>
      </c>
    </row>
    <row r="132" spans="5:83" x14ac:dyDescent="0.2">
      <c r="E132" s="176">
        <v>22</v>
      </c>
      <c r="F132" s="223">
        <f t="shared" si="239"/>
        <v>2.4199999999999999E-2</v>
      </c>
      <c r="G132" s="223"/>
      <c r="H132" s="223">
        <f t="shared" si="190"/>
        <v>0.58079999999999998</v>
      </c>
      <c r="I132" s="559">
        <f t="shared" si="191"/>
        <v>10</v>
      </c>
      <c r="J132" s="454">
        <f t="shared" si="192"/>
        <v>24.25</v>
      </c>
      <c r="K132" s="454">
        <f t="shared" si="193"/>
        <v>34.25</v>
      </c>
      <c r="L132" s="454"/>
      <c r="M132" s="223">
        <f t="shared" si="194"/>
        <v>0.70802919708029199</v>
      </c>
      <c r="N132" s="178">
        <f t="shared" si="240"/>
        <v>4.8765510948905106</v>
      </c>
      <c r="O132" s="178">
        <f t="shared" si="162"/>
        <v>0.58079999999999998</v>
      </c>
      <c r="P132" s="223">
        <f t="shared" si="195"/>
        <v>0.20318962895377127</v>
      </c>
      <c r="Q132" s="223">
        <f t="shared" si="196"/>
        <v>24</v>
      </c>
      <c r="R132" s="223"/>
      <c r="S132" s="178">
        <f t="shared" si="197"/>
        <v>274.61653333988323</v>
      </c>
      <c r="T132" s="178">
        <f t="shared" si="198"/>
        <v>24</v>
      </c>
      <c r="U132" s="223">
        <f t="shared" si="199"/>
        <v>0.17269582202930003</v>
      </c>
      <c r="V132" s="223">
        <f t="shared" si="200"/>
        <v>0.81167036353771016</v>
      </c>
      <c r="W132" s="223">
        <f t="shared" si="201"/>
        <v>0.33470942826297323</v>
      </c>
      <c r="X132" s="203">
        <f t="shared" si="202"/>
        <v>350</v>
      </c>
      <c r="Y132" s="454">
        <f t="shared" si="203"/>
        <v>350</v>
      </c>
      <c r="AA132" s="223">
        <f t="shared" si="204"/>
        <v>0.43041288576309544</v>
      </c>
      <c r="AB132" s="179">
        <f t="shared" si="205"/>
        <v>0.83420229405630864</v>
      </c>
      <c r="AC132" s="179">
        <f t="shared" si="206"/>
        <v>6.2833997921619769E-2</v>
      </c>
      <c r="AD132" s="179"/>
      <c r="AE132" s="179">
        <f t="shared" si="207"/>
        <v>0.56206185567010303</v>
      </c>
      <c r="AF132" s="563">
        <f t="shared" si="208"/>
        <v>296.93627140941641</v>
      </c>
      <c r="AG132" s="546">
        <f t="shared" si="209"/>
        <v>2.8524639175257726E-2</v>
      </c>
      <c r="AI132" s="179">
        <f t="shared" si="210"/>
        <v>0.26711335435157174</v>
      </c>
      <c r="AJ132" s="179">
        <f t="shared" si="211"/>
        <v>0.28999999999999998</v>
      </c>
      <c r="AK132" s="179">
        <f t="shared" si="212"/>
        <v>1.1696778693768093</v>
      </c>
      <c r="AM132" s="563">
        <f t="shared" si="213"/>
        <v>24.2</v>
      </c>
      <c r="AN132" s="472">
        <f t="shared" si="214"/>
        <v>296.93627140941641</v>
      </c>
      <c r="AP132" s="472">
        <f t="shared" si="215"/>
        <v>24.2</v>
      </c>
      <c r="AQ132" s="472">
        <f t="shared" si="216"/>
        <v>296.93627140941641</v>
      </c>
      <c r="AS132" s="6">
        <f t="shared" si="164"/>
        <v>3.3677259947175591</v>
      </c>
      <c r="AT132" s="6">
        <f t="shared" si="217"/>
        <v>1.363</v>
      </c>
      <c r="AU132" s="6">
        <f t="shared" si="218"/>
        <v>2.0047259947175591</v>
      </c>
      <c r="AV132" s="6"/>
      <c r="AW132" s="179">
        <f t="shared" si="219"/>
        <v>0.40472413793103457</v>
      </c>
      <c r="AX132" s="179">
        <f t="shared" si="142"/>
        <v>0.58684999999999998</v>
      </c>
      <c r="AY132" s="179">
        <f t="shared" si="143"/>
        <v>8.6314999999999975E-2</v>
      </c>
      <c r="AZ132" s="179">
        <f t="shared" si="167"/>
        <v>6.7989341365927141</v>
      </c>
      <c r="BD132" s="179">
        <f t="shared" si="168"/>
        <v>0.10651650889259687</v>
      </c>
      <c r="BE132" s="179">
        <f t="shared" si="146"/>
        <v>0.12918036486504697</v>
      </c>
      <c r="BG132" s="546">
        <f t="shared" si="220"/>
        <v>3.9710183333333338E-3</v>
      </c>
      <c r="BH132" s="546">
        <f t="shared" si="221"/>
        <v>2.2119896368305209E-2</v>
      </c>
      <c r="BI132" s="546">
        <f t="shared" si="222"/>
        <v>3.7117033926177046E-3</v>
      </c>
      <c r="BJ132" s="546">
        <f t="shared" si="223"/>
        <v>1.7416240244010426E-2</v>
      </c>
      <c r="BK132">
        <f t="shared" si="224"/>
        <v>2.8999999999999998E-3</v>
      </c>
      <c r="BM132" s="472">
        <f t="shared" si="225"/>
        <v>50.118858338266676</v>
      </c>
      <c r="BN132" s="546">
        <f t="shared" si="226"/>
        <v>7.2599999999999991E-3</v>
      </c>
      <c r="BQ132" s="472">
        <f t="shared" si="227"/>
        <v>7.2599999999999989</v>
      </c>
      <c r="BR132" s="546">
        <f t="shared" si="228"/>
        <v>2.2691533333333339E-3</v>
      </c>
      <c r="BS132" s="546">
        <f t="shared" si="229"/>
        <v>3.3375133333333321E-3</v>
      </c>
      <c r="BT132" s="546">
        <f t="shared" si="230"/>
        <v>3.4405123902865853E-3</v>
      </c>
      <c r="BU132" s="546"/>
      <c r="BV132" s="546">
        <f t="shared" si="231"/>
        <v>4.6198829787234058E-3</v>
      </c>
      <c r="BW132" s="472">
        <f t="shared" si="232"/>
        <v>13.667062035676656</v>
      </c>
      <c r="BX132" s="179">
        <f t="shared" si="233"/>
        <v>7.1045920373943319E-2</v>
      </c>
      <c r="BY132" s="6">
        <f t="shared" si="234"/>
        <v>0.58079999999999998</v>
      </c>
      <c r="BZ132" s="179">
        <f t="shared" si="235"/>
        <v>0.89100810766264127</v>
      </c>
      <c r="CA132" s="6">
        <f t="shared" si="236"/>
        <v>89.100810766264132</v>
      </c>
      <c r="CD132" s="581">
        <f t="shared" si="237"/>
        <v>-50</v>
      </c>
      <c r="CE132">
        <f t="shared" si="238"/>
        <v>-50</v>
      </c>
    </row>
    <row r="133" spans="5:83" x14ac:dyDescent="0.2">
      <c r="E133" s="176">
        <v>23</v>
      </c>
      <c r="F133" s="223">
        <f t="shared" si="239"/>
        <v>2.53E-2</v>
      </c>
      <c r="G133" s="223"/>
      <c r="H133" s="223">
        <f t="shared" si="190"/>
        <v>0.60719999999999996</v>
      </c>
      <c r="I133" s="559">
        <f t="shared" si="191"/>
        <v>10</v>
      </c>
      <c r="J133" s="454">
        <f t="shared" si="192"/>
        <v>24.25</v>
      </c>
      <c r="K133" s="454">
        <f t="shared" si="193"/>
        <v>34.25</v>
      </c>
      <c r="L133" s="454"/>
      <c r="M133" s="223">
        <f t="shared" si="194"/>
        <v>0.70802919708029199</v>
      </c>
      <c r="N133" s="178">
        <f t="shared" si="240"/>
        <v>4.8765510948905106</v>
      </c>
      <c r="O133" s="178">
        <f t="shared" si="162"/>
        <v>0.60719999999999996</v>
      </c>
      <c r="P133" s="223">
        <f t="shared" si="195"/>
        <v>0.20318962895377127</v>
      </c>
      <c r="Q133" s="223">
        <f t="shared" si="196"/>
        <v>24</v>
      </c>
      <c r="R133" s="223"/>
      <c r="S133" s="178">
        <f t="shared" si="197"/>
        <v>262.24272565448058</v>
      </c>
      <c r="T133" s="178">
        <f t="shared" si="198"/>
        <v>24</v>
      </c>
      <c r="U133" s="223">
        <f t="shared" si="199"/>
        <v>0.18054563212154096</v>
      </c>
      <c r="V133" s="223">
        <f t="shared" si="200"/>
        <v>0.84856447097124232</v>
      </c>
      <c r="W133" s="223">
        <f t="shared" si="201"/>
        <v>0.3499234931840175</v>
      </c>
      <c r="X133" s="203">
        <f t="shared" si="202"/>
        <v>350</v>
      </c>
      <c r="Y133" s="454">
        <f t="shared" si="203"/>
        <v>350</v>
      </c>
      <c r="AA133" s="223">
        <f t="shared" si="204"/>
        <v>0.43041288576309544</v>
      </c>
      <c r="AB133" s="179">
        <f t="shared" si="205"/>
        <v>0.83420229405630864</v>
      </c>
      <c r="AC133" s="179">
        <f t="shared" si="206"/>
        <v>6.2833997921619769E-2</v>
      </c>
      <c r="AD133" s="179"/>
      <c r="AE133" s="179">
        <f t="shared" si="207"/>
        <v>0.56206185567010303</v>
      </c>
      <c r="AF133" s="563">
        <f t="shared" si="208"/>
        <v>310.43337465529896</v>
      </c>
      <c r="AG133" s="546">
        <f t="shared" si="209"/>
        <v>2.8524639175257726E-2</v>
      </c>
      <c r="AI133" s="179">
        <f t="shared" si="210"/>
        <v>0.27311665120818479</v>
      </c>
      <c r="AJ133" s="179">
        <f t="shared" si="211"/>
        <v>0.28999999999999998</v>
      </c>
      <c r="AK133" s="179">
        <f t="shared" si="212"/>
        <v>1.177390499803028</v>
      </c>
      <c r="AM133" s="563">
        <f t="shared" si="213"/>
        <v>25.3</v>
      </c>
      <c r="AN133" s="472">
        <f t="shared" si="214"/>
        <v>310.43337465529896</v>
      </c>
      <c r="AP133" s="472">
        <f t="shared" si="215"/>
        <v>25.3</v>
      </c>
      <c r="AQ133" s="472">
        <f t="shared" si="216"/>
        <v>310.43337465529896</v>
      </c>
      <c r="AS133" s="6">
        <f t="shared" si="164"/>
        <v>3.2213031253820135</v>
      </c>
      <c r="AT133" s="6">
        <f t="shared" si="217"/>
        <v>1.363</v>
      </c>
      <c r="AU133" s="6">
        <f t="shared" si="218"/>
        <v>1.8583031253820135</v>
      </c>
      <c r="AV133" s="6"/>
      <c r="AW133" s="179">
        <f t="shared" si="219"/>
        <v>0.42312068965517247</v>
      </c>
      <c r="AX133" s="179">
        <f t="shared" ref="AX133:AX196" si="241">0.5*L*AJ133^2*AN133*1000</f>
        <v>0.61352499999999999</v>
      </c>
      <c r="AY133" s="179">
        <f t="shared" ref="AY133:AY196" si="242">AJ133*Nps/2*(1-AW133)</f>
        <v>8.3647499999999986E-2</v>
      </c>
      <c r="AZ133" s="179">
        <f t="shared" si="167"/>
        <v>7.3346483756238987</v>
      </c>
      <c r="BD133" s="179">
        <f t="shared" si="168"/>
        <v>0.10891043721027538</v>
      </c>
      <c r="BE133" s="179">
        <f t="shared" ref="BE133:BE196" si="243">AJ133*Nps*SQRT((1-AW133)/3)</f>
        <v>0.12716858888892335</v>
      </c>
      <c r="BG133" s="546">
        <f t="shared" si="220"/>
        <v>4.1515191666666668E-3</v>
      </c>
      <c r="BH133" s="546">
        <f t="shared" si="221"/>
        <v>2.3125346203228175E-2</v>
      </c>
      <c r="BI133" s="546">
        <f t="shared" si="222"/>
        <v>3.8804171831912366E-3</v>
      </c>
      <c r="BJ133" s="546">
        <f t="shared" si="223"/>
        <v>1.8207887527829082E-2</v>
      </c>
      <c r="BK133">
        <f t="shared" si="224"/>
        <v>2.8999999999999998E-3</v>
      </c>
      <c r="BM133" s="472">
        <f t="shared" si="225"/>
        <v>52.265170080915162</v>
      </c>
      <c r="BN133" s="546">
        <f t="shared" si="226"/>
        <v>7.5899999999999995E-3</v>
      </c>
      <c r="BQ133" s="472">
        <f t="shared" si="227"/>
        <v>7.59</v>
      </c>
      <c r="BR133" s="546">
        <f t="shared" si="228"/>
        <v>2.3722966666666675E-3</v>
      </c>
      <c r="BS133" s="546">
        <f t="shared" si="229"/>
        <v>3.2343699999999999E-3</v>
      </c>
      <c r="BT133" s="546">
        <f t="shared" si="230"/>
        <v>3.8449085455611724E-3</v>
      </c>
      <c r="BU133" s="546"/>
      <c r="BV133" s="546">
        <f t="shared" si="231"/>
        <v>4.8298776595744695E-3</v>
      </c>
      <c r="BW133" s="472">
        <f t="shared" si="232"/>
        <v>14.281452871802308</v>
      </c>
      <c r="BX133" s="179">
        <f t="shared" si="233"/>
        <v>7.4136622952717474E-2</v>
      </c>
      <c r="BY133" s="6">
        <f t="shared" si="234"/>
        <v>0.60719999999999996</v>
      </c>
      <c r="BZ133" s="179">
        <f t="shared" si="235"/>
        <v>0.89118943492068481</v>
      </c>
      <c r="CA133" s="6">
        <f t="shared" si="236"/>
        <v>89.118943492068482</v>
      </c>
      <c r="CD133" s="581">
        <f t="shared" si="237"/>
        <v>-50</v>
      </c>
      <c r="CE133">
        <f t="shared" si="238"/>
        <v>-50</v>
      </c>
    </row>
    <row r="134" spans="5:83" x14ac:dyDescent="0.2">
      <c r="E134" s="176">
        <v>24</v>
      </c>
      <c r="F134" s="223">
        <f t="shared" si="239"/>
        <v>2.64E-2</v>
      </c>
      <c r="G134" s="223"/>
      <c r="H134" s="223">
        <f t="shared" si="190"/>
        <v>0.63359999999999994</v>
      </c>
      <c r="I134" s="559">
        <f t="shared" si="191"/>
        <v>10</v>
      </c>
      <c r="J134" s="454">
        <f t="shared" si="192"/>
        <v>24.25</v>
      </c>
      <c r="K134" s="454">
        <f t="shared" si="193"/>
        <v>34.25</v>
      </c>
      <c r="L134" s="454"/>
      <c r="M134" s="223">
        <f t="shared" si="194"/>
        <v>0.70802919708029199</v>
      </c>
      <c r="N134" s="178">
        <f t="shared" si="240"/>
        <v>4.8765510948905106</v>
      </c>
      <c r="O134" s="178">
        <f t="shared" ref="O134:O197" si="244">T134*F134</f>
        <v>0.63359999999999994</v>
      </c>
      <c r="P134" s="223">
        <f t="shared" si="195"/>
        <v>0.20318962895377127</v>
      </c>
      <c r="Q134" s="223">
        <f t="shared" si="196"/>
        <v>24</v>
      </c>
      <c r="R134" s="223"/>
      <c r="S134" s="178">
        <f t="shared" si="197"/>
        <v>250.90010572159235</v>
      </c>
      <c r="T134" s="178">
        <f t="shared" si="198"/>
        <v>24</v>
      </c>
      <c r="U134" s="223">
        <f t="shared" si="199"/>
        <v>0.18839544221378185</v>
      </c>
      <c r="V134" s="223">
        <f t="shared" si="200"/>
        <v>0.88545857840477471</v>
      </c>
      <c r="W134" s="223">
        <f t="shared" si="201"/>
        <v>0.36513755810506177</v>
      </c>
      <c r="X134" s="203">
        <f t="shared" si="202"/>
        <v>350</v>
      </c>
      <c r="Y134" s="454">
        <f t="shared" si="203"/>
        <v>350</v>
      </c>
      <c r="AA134" s="223">
        <f t="shared" si="204"/>
        <v>0.43041288576309544</v>
      </c>
      <c r="AB134" s="179">
        <f t="shared" si="205"/>
        <v>0.83420229405630864</v>
      </c>
      <c r="AC134" s="179">
        <f t="shared" si="206"/>
        <v>6.2833997921619769E-2</v>
      </c>
      <c r="AD134" s="179"/>
      <c r="AE134" s="179">
        <f t="shared" si="207"/>
        <v>0.56206185567010303</v>
      </c>
      <c r="AF134" s="563">
        <f t="shared" si="208"/>
        <v>323.93047790118158</v>
      </c>
      <c r="AG134" s="546">
        <f t="shared" si="209"/>
        <v>2.8524639175257726E-2</v>
      </c>
      <c r="AI134" s="179">
        <f t="shared" si="210"/>
        <v>0.27899079959991185</v>
      </c>
      <c r="AJ134" s="179">
        <f t="shared" si="211"/>
        <v>0.28999999999999998</v>
      </c>
      <c r="AK134" s="179">
        <f t="shared" si="212"/>
        <v>1.1851031302292467</v>
      </c>
      <c r="AM134" s="563">
        <f t="shared" si="213"/>
        <v>26.4</v>
      </c>
      <c r="AN134" s="472">
        <f t="shared" si="214"/>
        <v>323.93047790118158</v>
      </c>
      <c r="AP134" s="472">
        <f t="shared" si="215"/>
        <v>26.4</v>
      </c>
      <c r="AQ134" s="472">
        <f t="shared" si="216"/>
        <v>323.93047790118158</v>
      </c>
      <c r="AS134" s="6">
        <f t="shared" ref="AS134:AS197" si="245">1/AN134*1000</f>
        <v>3.0870821618244291</v>
      </c>
      <c r="AT134" s="6">
        <f t="shared" si="217"/>
        <v>1.363</v>
      </c>
      <c r="AU134" s="6">
        <f t="shared" si="218"/>
        <v>1.7240821618244291</v>
      </c>
      <c r="AV134" s="6"/>
      <c r="AW134" s="179">
        <f t="shared" si="219"/>
        <v>0.44151724137931048</v>
      </c>
      <c r="AX134" s="179">
        <f t="shared" si="241"/>
        <v>0.64020000000000021</v>
      </c>
      <c r="AY134" s="179">
        <f t="shared" si="242"/>
        <v>8.0979999999999969E-2</v>
      </c>
      <c r="AZ134" s="179">
        <f t="shared" ref="AZ134:AZ197" si="246">AX134/AY134</f>
        <v>7.9056557174611068</v>
      </c>
      <c r="BD134" s="179">
        <f t="shared" ref="BD134:BD197" si="247">AJ134*SQRT(AW134/3)</f>
        <v>0.11125286513164505</v>
      </c>
      <c r="BE134" s="179">
        <f t="shared" si="243"/>
        <v>0.12512447136085461</v>
      </c>
      <c r="BG134" s="546">
        <f t="shared" si="220"/>
        <v>4.3320200000000007E-3</v>
      </c>
      <c r="BH134" s="546">
        <f t="shared" si="221"/>
        <v>2.4130796038151138E-2</v>
      </c>
      <c r="BI134" s="546">
        <f t="shared" si="222"/>
        <v>4.0491309737647691E-3</v>
      </c>
      <c r="BJ134" s="546">
        <f t="shared" si="223"/>
        <v>1.8999534811647741E-2</v>
      </c>
      <c r="BK134">
        <f t="shared" si="224"/>
        <v>2.8999999999999998E-3</v>
      </c>
      <c r="BM134" s="472">
        <f t="shared" si="225"/>
        <v>54.411481823563648</v>
      </c>
      <c r="BN134" s="546">
        <f t="shared" si="226"/>
        <v>7.92E-3</v>
      </c>
      <c r="BQ134" s="472">
        <f t="shared" si="227"/>
        <v>7.92</v>
      </c>
      <c r="BR134" s="546">
        <f t="shared" si="228"/>
        <v>2.4754400000000006E-3</v>
      </c>
      <c r="BS134" s="546">
        <f t="shared" si="229"/>
        <v>3.1312266666666654E-3</v>
      </c>
      <c r="BT134" s="546">
        <f t="shared" si="230"/>
        <v>4.2765595951248609E-3</v>
      </c>
      <c r="BU134" s="546"/>
      <c r="BV134" s="546">
        <f t="shared" si="231"/>
        <v>5.039872340425534E-3</v>
      </c>
      <c r="BW134" s="472">
        <f t="shared" si="232"/>
        <v>14.923098602217062</v>
      </c>
      <c r="BX134" s="179">
        <f t="shared" si="233"/>
        <v>7.7254580425780706E-2</v>
      </c>
      <c r="BY134" s="6">
        <f t="shared" si="234"/>
        <v>0.63359999999999994</v>
      </c>
      <c r="BZ134" s="179">
        <f t="shared" si="235"/>
        <v>0.89132154092682714</v>
      </c>
      <c r="CA134" s="6">
        <f t="shared" si="236"/>
        <v>89.132154092682711</v>
      </c>
      <c r="CD134" s="581">
        <f t="shared" si="237"/>
        <v>-50</v>
      </c>
      <c r="CE134">
        <f t="shared" si="238"/>
        <v>-50</v>
      </c>
    </row>
    <row r="135" spans="5:83" x14ac:dyDescent="0.2">
      <c r="E135" s="176">
        <v>25</v>
      </c>
      <c r="F135" s="223">
        <f t="shared" si="239"/>
        <v>2.75E-2</v>
      </c>
      <c r="G135" s="223"/>
      <c r="H135" s="223">
        <f t="shared" si="190"/>
        <v>0.66</v>
      </c>
      <c r="I135" s="559">
        <f t="shared" si="191"/>
        <v>10</v>
      </c>
      <c r="J135" s="454">
        <f t="shared" si="192"/>
        <v>24.25</v>
      </c>
      <c r="K135" s="454">
        <f t="shared" si="193"/>
        <v>34.25</v>
      </c>
      <c r="L135" s="454"/>
      <c r="M135" s="223">
        <f t="shared" si="194"/>
        <v>0.70802919708029199</v>
      </c>
      <c r="N135" s="178">
        <f t="shared" si="240"/>
        <v>4.8765510948905106</v>
      </c>
      <c r="O135" s="178">
        <f t="shared" si="244"/>
        <v>0.66</v>
      </c>
      <c r="P135" s="223">
        <f t="shared" si="195"/>
        <v>0.20318962895377127</v>
      </c>
      <c r="Q135" s="223">
        <f t="shared" si="196"/>
        <v>24</v>
      </c>
      <c r="R135" s="223"/>
      <c r="S135" s="178">
        <f t="shared" si="197"/>
        <v>240.46493118337295</v>
      </c>
      <c r="T135" s="178">
        <f t="shared" si="198"/>
        <v>24</v>
      </c>
      <c r="U135" s="223">
        <f t="shared" si="199"/>
        <v>0.1962452523060228</v>
      </c>
      <c r="V135" s="223">
        <f t="shared" si="200"/>
        <v>0.9223526858383071</v>
      </c>
      <c r="W135" s="223">
        <f t="shared" si="201"/>
        <v>0.38035162302610598</v>
      </c>
      <c r="X135" s="203">
        <f t="shared" si="202"/>
        <v>350</v>
      </c>
      <c r="Y135" s="454">
        <f t="shared" si="203"/>
        <v>350</v>
      </c>
      <c r="AA135" s="223">
        <f t="shared" si="204"/>
        <v>0.43041288576309544</v>
      </c>
      <c r="AB135" s="179">
        <f t="shared" si="205"/>
        <v>0.83420229405630864</v>
      </c>
      <c r="AC135" s="179">
        <f t="shared" si="206"/>
        <v>6.2833997921619769E-2</v>
      </c>
      <c r="AD135" s="179"/>
      <c r="AE135" s="179">
        <f t="shared" si="207"/>
        <v>0.56206185567010303</v>
      </c>
      <c r="AF135" s="563">
        <f t="shared" si="208"/>
        <v>337.42758114706413</v>
      </c>
      <c r="AG135" s="546">
        <f t="shared" si="209"/>
        <v>2.8524639175257726E-2</v>
      </c>
      <c r="AI135" s="179">
        <f t="shared" si="210"/>
        <v>0.28474379247952553</v>
      </c>
      <c r="AJ135" s="179">
        <f t="shared" si="211"/>
        <v>0.28999999999999998</v>
      </c>
      <c r="AK135" s="179">
        <f t="shared" si="212"/>
        <v>1.1928157606554652</v>
      </c>
      <c r="AM135" s="563">
        <f t="shared" si="213"/>
        <v>27.5</v>
      </c>
      <c r="AN135" s="472">
        <f t="shared" si="214"/>
        <v>337.42758114706413</v>
      </c>
      <c r="AP135" s="472">
        <f t="shared" si="215"/>
        <v>27.5</v>
      </c>
      <c r="AQ135" s="472">
        <f t="shared" si="216"/>
        <v>337.42758114706413</v>
      </c>
      <c r="AS135" s="6">
        <f t="shared" si="245"/>
        <v>2.9635988753514519</v>
      </c>
      <c r="AT135" s="6">
        <f t="shared" si="217"/>
        <v>1.363</v>
      </c>
      <c r="AU135" s="6">
        <f t="shared" si="218"/>
        <v>1.600598875351452</v>
      </c>
      <c r="AV135" s="6"/>
      <c r="AW135" s="179">
        <f t="shared" si="219"/>
        <v>0.45991379310344838</v>
      </c>
      <c r="AX135" s="179">
        <f t="shared" si="241"/>
        <v>0.66687500000000011</v>
      </c>
      <c r="AY135" s="179">
        <f t="shared" si="242"/>
        <v>7.8312499999999979E-2</v>
      </c>
      <c r="AZ135" s="179">
        <f t="shared" si="246"/>
        <v>8.5155626496408647</v>
      </c>
      <c r="BD135" s="179">
        <f t="shared" si="247"/>
        <v>0.11354697999800201</v>
      </c>
      <c r="BE135" s="179">
        <f t="shared" si="243"/>
        <v>0.1230464004620479</v>
      </c>
      <c r="BG135" s="546">
        <f t="shared" si="220"/>
        <v>4.5125208333333328E-3</v>
      </c>
      <c r="BH135" s="546">
        <f t="shared" si="221"/>
        <v>2.5136245873074108E-2</v>
      </c>
      <c r="BI135" s="546">
        <f t="shared" si="222"/>
        <v>4.2178447643383011E-3</v>
      </c>
      <c r="BJ135" s="546">
        <f t="shared" si="223"/>
        <v>1.9791182095466396E-2</v>
      </c>
      <c r="BK135">
        <f t="shared" si="224"/>
        <v>2.8999999999999998E-3</v>
      </c>
      <c r="BM135" s="472">
        <f t="shared" si="225"/>
        <v>56.557793566212133</v>
      </c>
      <c r="BN135" s="546">
        <f t="shared" si="226"/>
        <v>8.2500000000000004E-3</v>
      </c>
      <c r="BQ135" s="472">
        <f t="shared" si="227"/>
        <v>8.25</v>
      </c>
      <c r="BR135" s="546">
        <f t="shared" si="228"/>
        <v>2.5785833333333338E-3</v>
      </c>
      <c r="BS135" s="546">
        <f t="shared" si="229"/>
        <v>3.0280833333333323E-3</v>
      </c>
      <c r="BT135" s="546">
        <f t="shared" si="230"/>
        <v>4.7360518223105259E-3</v>
      </c>
      <c r="BU135" s="546"/>
      <c r="BV135" s="546">
        <f t="shared" si="231"/>
        <v>5.2498670212765969E-3</v>
      </c>
      <c r="BW135" s="472">
        <f t="shared" si="232"/>
        <v>15.592585510253789</v>
      </c>
      <c r="BX135" s="179">
        <f t="shared" si="233"/>
        <v>8.0400379076465925E-2</v>
      </c>
      <c r="BY135" s="6">
        <f t="shared" si="234"/>
        <v>0.66</v>
      </c>
      <c r="BZ135" s="179">
        <f t="shared" si="235"/>
        <v>0.89140959223068894</v>
      </c>
      <c r="CA135" s="6">
        <f t="shared" si="236"/>
        <v>89.14095922306889</v>
      </c>
      <c r="CD135" s="581">
        <f t="shared" si="237"/>
        <v>-50</v>
      </c>
      <c r="CE135">
        <f t="shared" si="238"/>
        <v>-50</v>
      </c>
    </row>
    <row r="136" spans="5:83" x14ac:dyDescent="0.2">
      <c r="E136" s="176">
        <v>26</v>
      </c>
      <c r="F136" s="223">
        <f t="shared" si="239"/>
        <v>2.86E-2</v>
      </c>
      <c r="G136" s="223"/>
      <c r="H136" s="223">
        <f t="shared" si="190"/>
        <v>0.68640000000000001</v>
      </c>
      <c r="I136" s="559">
        <f t="shared" si="191"/>
        <v>10</v>
      </c>
      <c r="J136" s="454">
        <f t="shared" si="192"/>
        <v>24.25</v>
      </c>
      <c r="K136" s="454">
        <f t="shared" si="193"/>
        <v>34.25</v>
      </c>
      <c r="L136" s="454"/>
      <c r="M136" s="223">
        <f t="shared" si="194"/>
        <v>0.70802919708029199</v>
      </c>
      <c r="N136" s="178">
        <f t="shared" si="240"/>
        <v>4.8765510948905106</v>
      </c>
      <c r="O136" s="178">
        <f t="shared" si="244"/>
        <v>0.68640000000000001</v>
      </c>
      <c r="P136" s="223">
        <f t="shared" si="195"/>
        <v>0.20318962895377127</v>
      </c>
      <c r="Q136" s="223">
        <f t="shared" si="196"/>
        <v>24</v>
      </c>
      <c r="R136" s="223"/>
      <c r="S136" s="178">
        <f t="shared" si="197"/>
        <v>230.83249696884019</v>
      </c>
      <c r="T136" s="178">
        <f t="shared" si="198"/>
        <v>24</v>
      </c>
      <c r="U136" s="223">
        <f t="shared" si="199"/>
        <v>0.20409506239826369</v>
      </c>
      <c r="V136" s="223">
        <f t="shared" si="200"/>
        <v>0.95924679327183937</v>
      </c>
      <c r="W136" s="223">
        <f t="shared" si="201"/>
        <v>0.39556568794715025</v>
      </c>
      <c r="X136" s="203">
        <f t="shared" si="202"/>
        <v>350</v>
      </c>
      <c r="Y136" s="454">
        <f t="shared" si="203"/>
        <v>350</v>
      </c>
      <c r="AA136" s="223">
        <f t="shared" si="204"/>
        <v>0.43041288576309544</v>
      </c>
      <c r="AB136" s="179">
        <f t="shared" si="205"/>
        <v>0.83420229405630864</v>
      </c>
      <c r="AC136" s="179">
        <f t="shared" si="206"/>
        <v>6.2833997921619769E-2</v>
      </c>
      <c r="AD136" s="179"/>
      <c r="AE136" s="179">
        <f t="shared" si="207"/>
        <v>0.56206185567010303</v>
      </c>
      <c r="AF136" s="563">
        <f t="shared" si="208"/>
        <v>350.92468439294663</v>
      </c>
      <c r="AG136" s="546">
        <f t="shared" si="209"/>
        <v>2.8524639175257726E-2</v>
      </c>
      <c r="AI136" s="179">
        <f t="shared" si="210"/>
        <v>0.29038283084550304</v>
      </c>
      <c r="AJ136" s="179">
        <f t="shared" si="211"/>
        <v>0.29038283084550304</v>
      </c>
      <c r="AK136" s="179">
        <f t="shared" si="212"/>
        <v>1.2002835784040764</v>
      </c>
      <c r="AM136" s="563">
        <f t="shared" si="213"/>
        <v>28.6</v>
      </c>
      <c r="AN136" s="472">
        <f t="shared" si="214"/>
        <v>350</v>
      </c>
      <c r="AP136" s="472">
        <f t="shared" si="215"/>
        <v>28.6</v>
      </c>
      <c r="AQ136" s="472">
        <f t="shared" si="216"/>
        <v>350</v>
      </c>
      <c r="AS136" s="6">
        <f t="shared" si="245"/>
        <v>2.8571428571428572</v>
      </c>
      <c r="AT136" s="6">
        <f t="shared" si="217"/>
        <v>1.364799304973864</v>
      </c>
      <c r="AU136" s="6">
        <f t="shared" si="218"/>
        <v>1.4923435521689932</v>
      </c>
      <c r="AV136" s="6"/>
      <c r="AW136" s="179">
        <f t="shared" si="219"/>
        <v>0.47767975674085239</v>
      </c>
      <c r="AX136" s="179">
        <f t="shared" si="241"/>
        <v>0.69355</v>
      </c>
      <c r="AY136" s="179">
        <f t="shared" si="242"/>
        <v>7.5836415422751532E-2</v>
      </c>
      <c r="AZ136" s="179">
        <f t="shared" si="246"/>
        <v>9.1453425921279692</v>
      </c>
      <c r="BD136" s="179">
        <f t="shared" si="247"/>
        <v>0.11587205942558616</v>
      </c>
      <c r="BE136" s="179">
        <f t="shared" si="243"/>
        <v>0.12116543234117053</v>
      </c>
      <c r="BG136" s="546">
        <f t="shared" si="220"/>
        <v>4.6992169544342998E-3</v>
      </c>
      <c r="BH136" s="546">
        <f t="shared" si="221"/>
        <v>2.6107231385703505E-2</v>
      </c>
      <c r="BI136" s="546">
        <f t="shared" si="222"/>
        <v>4.3749999999999995E-3</v>
      </c>
      <c r="BJ136" s="546">
        <f t="shared" si="223"/>
        <v>2.0528593750000001E-2</v>
      </c>
      <c r="BK136">
        <f t="shared" si="224"/>
        <v>2.8999999999999998E-3</v>
      </c>
      <c r="BM136" s="472">
        <f t="shared" si="225"/>
        <v>58.610042090137803</v>
      </c>
      <c r="BN136" s="546">
        <f t="shared" si="226"/>
        <v>8.5799999999999991E-3</v>
      </c>
      <c r="BQ136" s="472">
        <f t="shared" si="227"/>
        <v>8.5799999999999983</v>
      </c>
      <c r="BR136" s="546">
        <f t="shared" si="228"/>
        <v>2.6852668311053143E-3</v>
      </c>
      <c r="BS136" s="546">
        <f t="shared" si="229"/>
        <v>2.9362123988845544E-3</v>
      </c>
      <c r="BT136" s="546">
        <f t="shared" si="230"/>
        <v>5.2067587078029973E-3</v>
      </c>
      <c r="BU136" s="546"/>
      <c r="BV136" s="546">
        <f t="shared" si="231"/>
        <v>5.4598617021276597E-3</v>
      </c>
      <c r="BW136" s="472">
        <f t="shared" si="232"/>
        <v>16.288099639920528</v>
      </c>
      <c r="BX136" s="179">
        <f t="shared" si="233"/>
        <v>8.3478141730058339E-2</v>
      </c>
      <c r="BY136" s="6">
        <f t="shared" si="234"/>
        <v>0.68640000000000001</v>
      </c>
      <c r="BZ136" s="179">
        <f t="shared" si="235"/>
        <v>0.89156966900960777</v>
      </c>
      <c r="CA136" s="6">
        <f t="shared" si="236"/>
        <v>89.156966900960782</v>
      </c>
      <c r="CD136" s="581">
        <f t="shared" si="237"/>
        <v>-50</v>
      </c>
      <c r="CE136">
        <f t="shared" si="238"/>
        <v>-50</v>
      </c>
    </row>
    <row r="137" spans="5:83" x14ac:dyDescent="0.2">
      <c r="E137" s="176">
        <v>27</v>
      </c>
      <c r="F137" s="223">
        <f t="shared" si="239"/>
        <v>2.9700000000000001E-2</v>
      </c>
      <c r="G137" s="223"/>
      <c r="H137" s="223">
        <f t="shared" si="190"/>
        <v>0.71279999999999999</v>
      </c>
      <c r="I137" s="559">
        <f t="shared" si="191"/>
        <v>10</v>
      </c>
      <c r="J137" s="454">
        <f t="shared" si="192"/>
        <v>24.25</v>
      </c>
      <c r="K137" s="454">
        <f t="shared" si="193"/>
        <v>34.25</v>
      </c>
      <c r="L137" s="454"/>
      <c r="M137" s="223">
        <f t="shared" si="194"/>
        <v>0.70802919708029199</v>
      </c>
      <c r="N137" s="178">
        <f t="shared" si="240"/>
        <v>4.8765510948905106</v>
      </c>
      <c r="O137" s="178">
        <f t="shared" si="244"/>
        <v>0.71279999999999999</v>
      </c>
      <c r="P137" s="223">
        <f t="shared" si="195"/>
        <v>0.20318962895377127</v>
      </c>
      <c r="Q137" s="223">
        <f t="shared" si="196"/>
        <v>24</v>
      </c>
      <c r="R137" s="223"/>
      <c r="S137" s="178">
        <f t="shared" si="197"/>
        <v>221.91360987038999</v>
      </c>
      <c r="T137" s="178">
        <f t="shared" si="198"/>
        <v>24</v>
      </c>
      <c r="U137" s="223">
        <f t="shared" si="199"/>
        <v>0.21194487249050459</v>
      </c>
      <c r="V137" s="223">
        <f t="shared" si="200"/>
        <v>0.99614090070537153</v>
      </c>
      <c r="W137" s="223">
        <f t="shared" si="201"/>
        <v>0.4107797528681944</v>
      </c>
      <c r="X137" s="203">
        <f t="shared" si="202"/>
        <v>350</v>
      </c>
      <c r="Y137" s="454">
        <f t="shared" si="203"/>
        <v>350</v>
      </c>
      <c r="AA137" s="223">
        <f t="shared" si="204"/>
        <v>0.43041288576309544</v>
      </c>
      <c r="AB137" s="179">
        <f t="shared" si="205"/>
        <v>0.83420229405630864</v>
      </c>
      <c r="AC137" s="179">
        <f t="shared" si="206"/>
        <v>6.2833997921619769E-2</v>
      </c>
      <c r="AD137" s="179"/>
      <c r="AE137" s="179">
        <f t="shared" si="207"/>
        <v>0.56206185567010303</v>
      </c>
      <c r="AF137" s="563">
        <f t="shared" si="208"/>
        <v>364.42178763882924</v>
      </c>
      <c r="AG137" s="546">
        <f t="shared" si="209"/>
        <v>2.8524639175257726E-2</v>
      </c>
      <c r="AI137" s="179">
        <f t="shared" si="210"/>
        <v>0.29591442942863222</v>
      </c>
      <c r="AJ137" s="179">
        <f t="shared" si="211"/>
        <v>0.29591442942863222</v>
      </c>
      <c r="AK137" s="179">
        <f t="shared" si="212"/>
        <v>1.2043810588360238</v>
      </c>
      <c r="AM137" s="563">
        <f t="shared" si="213"/>
        <v>29.7</v>
      </c>
      <c r="AN137" s="472">
        <f t="shared" si="214"/>
        <v>350</v>
      </c>
      <c r="AP137" s="472">
        <f t="shared" si="215"/>
        <v>29.7</v>
      </c>
      <c r="AQ137" s="472">
        <f t="shared" si="216"/>
        <v>350</v>
      </c>
      <c r="AS137" s="6">
        <f t="shared" si="245"/>
        <v>2.8571428571428572</v>
      </c>
      <c r="AT137" s="6">
        <f t="shared" si="217"/>
        <v>1.3907978183145713</v>
      </c>
      <c r="AU137" s="6">
        <f t="shared" si="218"/>
        <v>1.4663450388282859</v>
      </c>
      <c r="AV137" s="6"/>
      <c r="AW137" s="179">
        <f t="shared" si="219"/>
        <v>0.48677923641009996</v>
      </c>
      <c r="AX137" s="179">
        <f t="shared" si="241"/>
        <v>0.720225</v>
      </c>
      <c r="AY137" s="179">
        <f t="shared" si="242"/>
        <v>7.5934714714316107E-2</v>
      </c>
      <c r="AZ137" s="179">
        <f t="shared" si="246"/>
        <v>9.4847923339101552</v>
      </c>
      <c r="BD137" s="179">
        <f t="shared" si="247"/>
        <v>0.11919870523212817</v>
      </c>
      <c r="BE137" s="179">
        <f t="shared" si="243"/>
        <v>0.1223932944201133</v>
      </c>
      <c r="BG137" s="546">
        <f t="shared" si="220"/>
        <v>4.9729159651555228E-3</v>
      </c>
      <c r="BH137" s="546">
        <f t="shared" si="221"/>
        <v>2.6604556670817965E-2</v>
      </c>
      <c r="BI137" s="546">
        <f t="shared" si="222"/>
        <v>4.3749999999999995E-3</v>
      </c>
      <c r="BJ137" s="546">
        <f t="shared" si="223"/>
        <v>2.0528593750000001E-2</v>
      </c>
      <c r="BK137">
        <f t="shared" si="224"/>
        <v>2.8999999999999998E-3</v>
      </c>
      <c r="BM137" s="472">
        <f t="shared" si="225"/>
        <v>59.381066385973483</v>
      </c>
      <c r="BN137" s="546">
        <f t="shared" si="226"/>
        <v>8.9099999999999995E-3</v>
      </c>
      <c r="BQ137" s="472">
        <f t="shared" si="227"/>
        <v>8.91</v>
      </c>
      <c r="BR137" s="546">
        <f t="shared" si="228"/>
        <v>2.841666265803156E-3</v>
      </c>
      <c r="BS137" s="546">
        <f t="shared" si="229"/>
        <v>2.9960237038017079E-3</v>
      </c>
      <c r="BT137" s="546">
        <f t="shared" si="230"/>
        <v>5.4582757496806789E-3</v>
      </c>
      <c r="BU137" s="546"/>
      <c r="BV137" s="546">
        <f t="shared" si="231"/>
        <v>5.6698563829787243E-3</v>
      </c>
      <c r="BW137" s="472">
        <f t="shared" si="232"/>
        <v>16.965822102264266</v>
      </c>
      <c r="BX137" s="179">
        <f t="shared" si="233"/>
        <v>8.5256888488237745E-2</v>
      </c>
      <c r="BY137" s="6">
        <f t="shared" si="234"/>
        <v>0.71279999999999999</v>
      </c>
      <c r="BZ137" s="179">
        <f t="shared" si="235"/>
        <v>0.8931694097024333</v>
      </c>
      <c r="CA137" s="6">
        <f t="shared" si="236"/>
        <v>89.316940970243337</v>
      </c>
      <c r="CD137" s="581">
        <f t="shared" si="237"/>
        <v>-50</v>
      </c>
      <c r="CE137">
        <f t="shared" si="238"/>
        <v>-50</v>
      </c>
    </row>
    <row r="138" spans="5:83" x14ac:dyDescent="0.2">
      <c r="E138" s="176">
        <v>28</v>
      </c>
      <c r="F138" s="223">
        <f t="shared" si="239"/>
        <v>3.0800000000000004E-2</v>
      </c>
      <c r="G138" s="223"/>
      <c r="H138" s="223">
        <f t="shared" si="190"/>
        <v>0.73920000000000008</v>
      </c>
      <c r="I138" s="559">
        <f t="shared" si="191"/>
        <v>10</v>
      </c>
      <c r="J138" s="454">
        <f t="shared" si="192"/>
        <v>24.25</v>
      </c>
      <c r="K138" s="454">
        <f t="shared" si="193"/>
        <v>34.25</v>
      </c>
      <c r="L138" s="454"/>
      <c r="M138" s="223">
        <f t="shared" si="194"/>
        <v>0.70802919708029199</v>
      </c>
      <c r="N138" s="178">
        <f t="shared" si="240"/>
        <v>4.8765510948905106</v>
      </c>
      <c r="O138" s="178">
        <f t="shared" si="244"/>
        <v>0.73920000000000008</v>
      </c>
      <c r="P138" s="223">
        <f t="shared" si="195"/>
        <v>0.20318962895377127</v>
      </c>
      <c r="Q138" s="223">
        <f t="shared" si="196"/>
        <v>24</v>
      </c>
      <c r="R138" s="223"/>
      <c r="S138" s="178">
        <f t="shared" si="197"/>
        <v>213.63181856820023</v>
      </c>
      <c r="T138" s="178">
        <f t="shared" si="198"/>
        <v>24</v>
      </c>
      <c r="U138" s="223">
        <f t="shared" si="199"/>
        <v>0.21979468258274554</v>
      </c>
      <c r="V138" s="223">
        <f t="shared" si="200"/>
        <v>1.0330350081389039</v>
      </c>
      <c r="W138" s="223">
        <f t="shared" si="201"/>
        <v>0.42599381778923878</v>
      </c>
      <c r="X138" s="203">
        <f t="shared" si="202"/>
        <v>350</v>
      </c>
      <c r="Y138" s="454">
        <f t="shared" si="203"/>
        <v>350</v>
      </c>
      <c r="AA138" s="223">
        <f t="shared" si="204"/>
        <v>0.43041288576309544</v>
      </c>
      <c r="AB138" s="179">
        <f t="shared" si="205"/>
        <v>0.83420229405630864</v>
      </c>
      <c r="AC138" s="179">
        <f t="shared" si="206"/>
        <v>6.2833997921619769E-2</v>
      </c>
      <c r="AD138" s="179"/>
      <c r="AE138" s="179">
        <f t="shared" si="207"/>
        <v>0.56206185567010303</v>
      </c>
      <c r="AF138" s="563">
        <f t="shared" si="208"/>
        <v>377.91889088471186</v>
      </c>
      <c r="AG138" s="546">
        <f t="shared" si="209"/>
        <v>2.8524639175257726E-2</v>
      </c>
      <c r="AI138" s="179">
        <f t="shared" si="210"/>
        <v>0.3013445049080834</v>
      </c>
      <c r="AJ138" s="179">
        <f t="shared" si="211"/>
        <v>0.3013445049080834</v>
      </c>
      <c r="AK138" s="179">
        <f t="shared" si="212"/>
        <v>1.2084033369689506</v>
      </c>
      <c r="AM138" s="563">
        <f t="shared" si="213"/>
        <v>30.800000000000004</v>
      </c>
      <c r="AN138" s="472">
        <f t="shared" si="214"/>
        <v>350</v>
      </c>
      <c r="AP138" s="472">
        <f t="shared" si="215"/>
        <v>30.800000000000004</v>
      </c>
      <c r="AQ138" s="472">
        <f t="shared" si="216"/>
        <v>350</v>
      </c>
      <c r="AS138" s="6">
        <f t="shared" si="245"/>
        <v>2.8571428571428572</v>
      </c>
      <c r="AT138" s="6">
        <f t="shared" si="217"/>
        <v>1.416319173067992</v>
      </c>
      <c r="AU138" s="6">
        <f t="shared" si="218"/>
        <v>1.4408236840748652</v>
      </c>
      <c r="AV138" s="6"/>
      <c r="AW138" s="179">
        <f t="shared" si="219"/>
        <v>0.4957117105737972</v>
      </c>
      <c r="AX138" s="179">
        <f t="shared" si="241"/>
        <v>0.74690000000000012</v>
      </c>
      <c r="AY138" s="179">
        <f t="shared" si="242"/>
        <v>7.5982252454041679E-2</v>
      </c>
      <c r="AZ138" s="179">
        <f t="shared" si="246"/>
        <v>9.8299270668735055</v>
      </c>
      <c r="BD138" s="179">
        <f t="shared" si="247"/>
        <v>0.12249468307259913</v>
      </c>
      <c r="BE138" s="179">
        <f t="shared" si="243"/>
        <v>0.12354981248485486</v>
      </c>
      <c r="BG138" s="546">
        <f t="shared" si="220"/>
        <v>5.251731583369776E-3</v>
      </c>
      <c r="BH138" s="546">
        <f t="shared" si="221"/>
        <v>2.709275439439237E-2</v>
      </c>
      <c r="BI138" s="546">
        <f t="shared" si="222"/>
        <v>4.3749999999999995E-3</v>
      </c>
      <c r="BJ138" s="546">
        <f t="shared" si="223"/>
        <v>2.0528593750000001E-2</v>
      </c>
      <c r="BK138">
        <f t="shared" si="224"/>
        <v>2.8999999999999998E-3</v>
      </c>
      <c r="BM138" s="472">
        <f t="shared" si="225"/>
        <v>60.148079727762152</v>
      </c>
      <c r="BN138" s="546">
        <f t="shared" si="226"/>
        <v>9.2400000000000017E-3</v>
      </c>
      <c r="BQ138" s="472">
        <f t="shared" si="227"/>
        <v>9.240000000000002</v>
      </c>
      <c r="BR138" s="546">
        <f t="shared" si="228"/>
        <v>3.0009894762113008E-3</v>
      </c>
      <c r="BS138" s="546">
        <f t="shared" si="229"/>
        <v>3.0529112330085597E-3</v>
      </c>
      <c r="BT138" s="546">
        <f t="shared" si="230"/>
        <v>5.712132938619682E-3</v>
      </c>
      <c r="BU138" s="546"/>
      <c r="BV138" s="546">
        <f t="shared" si="231"/>
        <v>5.8798510638297897E-3</v>
      </c>
      <c r="BW138" s="472">
        <f t="shared" si="232"/>
        <v>17.645884711669332</v>
      </c>
      <c r="BX138" s="179">
        <f t="shared" si="233"/>
        <v>8.7033964439431483E-2</v>
      </c>
      <c r="BY138" s="6">
        <f t="shared" si="234"/>
        <v>0.73920000000000008</v>
      </c>
      <c r="BZ138" s="179">
        <f t="shared" si="235"/>
        <v>0.89466184133633297</v>
      </c>
      <c r="CA138" s="6">
        <f t="shared" si="236"/>
        <v>89.466184133633291</v>
      </c>
      <c r="CD138" s="581">
        <f t="shared" si="237"/>
        <v>-50</v>
      </c>
      <c r="CE138">
        <f t="shared" si="238"/>
        <v>-50</v>
      </c>
    </row>
    <row r="139" spans="5:83" x14ac:dyDescent="0.2">
      <c r="E139" s="176">
        <v>29</v>
      </c>
      <c r="F139" s="223">
        <f t="shared" si="239"/>
        <v>3.1899999999999998E-2</v>
      </c>
      <c r="G139" s="223"/>
      <c r="H139" s="223">
        <f t="shared" si="190"/>
        <v>0.76559999999999995</v>
      </c>
      <c r="I139" s="559">
        <f t="shared" si="191"/>
        <v>10</v>
      </c>
      <c r="J139" s="454">
        <f t="shared" si="192"/>
        <v>24.25</v>
      </c>
      <c r="K139" s="454">
        <f t="shared" si="193"/>
        <v>34.25</v>
      </c>
      <c r="L139" s="454"/>
      <c r="M139" s="223">
        <f t="shared" si="194"/>
        <v>0.70802919708029199</v>
      </c>
      <c r="N139" s="178">
        <f t="shared" si="240"/>
        <v>4.8765510948905106</v>
      </c>
      <c r="O139" s="178">
        <f t="shared" si="244"/>
        <v>0.76559999999999995</v>
      </c>
      <c r="P139" s="223">
        <f t="shared" si="195"/>
        <v>0.20318962895377127</v>
      </c>
      <c r="Q139" s="223">
        <f t="shared" si="196"/>
        <v>24</v>
      </c>
      <c r="R139" s="223"/>
      <c r="S139" s="178">
        <f t="shared" si="197"/>
        <v>205.92121675303449</v>
      </c>
      <c r="T139" s="178">
        <f t="shared" si="198"/>
        <v>24</v>
      </c>
      <c r="U139" s="223">
        <f t="shared" si="199"/>
        <v>0.2276444926749864</v>
      </c>
      <c r="V139" s="223">
        <f t="shared" si="200"/>
        <v>1.069929115572436</v>
      </c>
      <c r="W139" s="223">
        <f t="shared" si="201"/>
        <v>0.44120788271028294</v>
      </c>
      <c r="X139" s="203">
        <f t="shared" si="202"/>
        <v>350</v>
      </c>
      <c r="Y139" s="454">
        <f t="shared" si="203"/>
        <v>350</v>
      </c>
      <c r="AA139" s="223">
        <f t="shared" si="204"/>
        <v>0.43041288576309544</v>
      </c>
      <c r="AB139" s="179">
        <f t="shared" si="205"/>
        <v>0.83420229405630864</v>
      </c>
      <c r="AC139" s="179">
        <f t="shared" si="206"/>
        <v>6.2833997921619769E-2</v>
      </c>
      <c r="AD139" s="179"/>
      <c r="AE139" s="179">
        <f t="shared" si="207"/>
        <v>0.56206185567010303</v>
      </c>
      <c r="AF139" s="563">
        <f t="shared" si="208"/>
        <v>391.4159941305943</v>
      </c>
      <c r="AG139" s="546">
        <f t="shared" si="209"/>
        <v>2.8524639175257726E-2</v>
      </c>
      <c r="AI139" s="179">
        <f t="shared" si="210"/>
        <v>0.30667845006215028</v>
      </c>
      <c r="AJ139" s="179">
        <f t="shared" si="211"/>
        <v>0.30667845006215028</v>
      </c>
      <c r="AK139" s="179">
        <f t="shared" si="212"/>
        <v>1.2123544074534447</v>
      </c>
      <c r="AM139" s="563">
        <f t="shared" si="213"/>
        <v>31.9</v>
      </c>
      <c r="AN139" s="472">
        <f t="shared" si="214"/>
        <v>350</v>
      </c>
      <c r="AP139" s="472">
        <f t="shared" si="215"/>
        <v>31.9</v>
      </c>
      <c r="AQ139" s="472">
        <f t="shared" si="216"/>
        <v>350</v>
      </c>
      <c r="AS139" s="6">
        <f t="shared" si="245"/>
        <v>2.8571428571428572</v>
      </c>
      <c r="AT139" s="6">
        <f t="shared" si="217"/>
        <v>1.4413887152921061</v>
      </c>
      <c r="AU139" s="6">
        <f t="shared" si="218"/>
        <v>1.4157541418507511</v>
      </c>
      <c r="AV139" s="6"/>
      <c r="AW139" s="179">
        <f t="shared" si="219"/>
        <v>0.50448605035223715</v>
      </c>
      <c r="AX139" s="179">
        <f t="shared" si="241"/>
        <v>0.77357500000000001</v>
      </c>
      <c r="AY139" s="179">
        <f t="shared" si="242"/>
        <v>7.5981725031075142E-2</v>
      </c>
      <c r="AZ139" s="179">
        <f t="shared" si="246"/>
        <v>10.1810665615136</v>
      </c>
      <c r="BD139" s="179">
        <f t="shared" si="247"/>
        <v>0.12576135654665624</v>
      </c>
      <c r="BE139" s="179">
        <f t="shared" si="243"/>
        <v>0.12463802968484007</v>
      </c>
      <c r="BG139" s="546">
        <f t="shared" si="220"/>
        <v>5.5355715801593186E-3</v>
      </c>
      <c r="BH139" s="546">
        <f t="shared" si="221"/>
        <v>2.7572309400900191E-2</v>
      </c>
      <c r="BI139" s="546">
        <f t="shared" si="222"/>
        <v>4.3749999999999995E-3</v>
      </c>
      <c r="BJ139" s="546">
        <f t="shared" si="223"/>
        <v>2.0528593750000001E-2</v>
      </c>
      <c r="BK139">
        <f t="shared" si="224"/>
        <v>2.8999999999999998E-3</v>
      </c>
      <c r="BM139" s="472">
        <f t="shared" si="225"/>
        <v>60.911474731059513</v>
      </c>
      <c r="BN139" s="546">
        <f t="shared" si="226"/>
        <v>9.5699999999999986E-3</v>
      </c>
      <c r="BQ139" s="472">
        <f t="shared" si="227"/>
        <v>9.5699999999999985</v>
      </c>
      <c r="BR139" s="546">
        <f t="shared" si="228"/>
        <v>3.1631837600910396E-3</v>
      </c>
      <c r="BS139" s="546">
        <f t="shared" si="229"/>
        <v>3.1069276887438152E-3</v>
      </c>
      <c r="BT139" s="546">
        <f t="shared" si="230"/>
        <v>5.9682672840405803E-3</v>
      </c>
      <c r="BU139" s="546"/>
      <c r="BV139" s="546">
        <f t="shared" si="231"/>
        <v>6.0898457446808508E-3</v>
      </c>
      <c r="BW139" s="472">
        <f t="shared" si="232"/>
        <v>18.328224477556287</v>
      </c>
      <c r="BX139" s="179">
        <f t="shared" si="233"/>
        <v>8.8809699208615811E-2</v>
      </c>
      <c r="BY139" s="6">
        <f t="shared" si="234"/>
        <v>0.76559999999999995</v>
      </c>
      <c r="BZ139" s="179">
        <f t="shared" si="235"/>
        <v>0.89605724362577521</v>
      </c>
      <c r="CA139" s="6">
        <f t="shared" si="236"/>
        <v>89.605724362577519</v>
      </c>
      <c r="CD139" s="581">
        <f t="shared" si="237"/>
        <v>-50</v>
      </c>
      <c r="CE139">
        <f t="shared" si="238"/>
        <v>-50</v>
      </c>
    </row>
    <row r="140" spans="5:83" x14ac:dyDescent="0.2">
      <c r="E140" s="176">
        <v>30</v>
      </c>
      <c r="F140" s="223">
        <f t="shared" si="239"/>
        <v>3.3000000000000002E-2</v>
      </c>
      <c r="G140" s="223"/>
      <c r="H140" s="223">
        <f t="shared" si="190"/>
        <v>0.79200000000000004</v>
      </c>
      <c r="I140" s="559">
        <f t="shared" si="191"/>
        <v>10</v>
      </c>
      <c r="J140" s="454">
        <f t="shared" si="192"/>
        <v>24.25</v>
      </c>
      <c r="K140" s="454">
        <f t="shared" si="193"/>
        <v>34.25</v>
      </c>
      <c r="L140" s="454"/>
      <c r="M140" s="223">
        <f t="shared" si="194"/>
        <v>0.70802919708029199</v>
      </c>
      <c r="N140" s="178">
        <f t="shared" si="240"/>
        <v>4.8765510948905106</v>
      </c>
      <c r="O140" s="178">
        <f t="shared" si="244"/>
        <v>0.79200000000000004</v>
      </c>
      <c r="P140" s="223">
        <f t="shared" si="195"/>
        <v>0.20318962895377127</v>
      </c>
      <c r="Q140" s="223">
        <f t="shared" si="196"/>
        <v>24</v>
      </c>
      <c r="R140" s="223"/>
      <c r="S140" s="178">
        <f t="shared" si="197"/>
        <v>198.72468562448427</v>
      </c>
      <c r="T140" s="178">
        <f t="shared" si="198"/>
        <v>24</v>
      </c>
      <c r="U140" s="223">
        <f t="shared" si="199"/>
        <v>0.23549430276722735</v>
      </c>
      <c r="V140" s="223">
        <f t="shared" si="200"/>
        <v>1.1068232230059687</v>
      </c>
      <c r="W140" s="223">
        <f t="shared" si="201"/>
        <v>0.45642194763132726</v>
      </c>
      <c r="X140" s="203">
        <f t="shared" si="202"/>
        <v>350</v>
      </c>
      <c r="Y140" s="454">
        <f t="shared" si="203"/>
        <v>350</v>
      </c>
      <c r="AA140" s="223">
        <f t="shared" si="204"/>
        <v>0.43041288576309544</v>
      </c>
      <c r="AB140" s="179">
        <f t="shared" si="205"/>
        <v>0.83420229405630864</v>
      </c>
      <c r="AC140" s="179">
        <f t="shared" si="206"/>
        <v>6.2833997921619769E-2</v>
      </c>
      <c r="AD140" s="179"/>
      <c r="AE140" s="179">
        <f t="shared" si="207"/>
        <v>0.56206185567010303</v>
      </c>
      <c r="AF140" s="563">
        <f t="shared" si="208"/>
        <v>404.91309737647691</v>
      </c>
      <c r="AG140" s="546">
        <f t="shared" si="209"/>
        <v>2.8524639175257726E-2</v>
      </c>
      <c r="AI140" s="179">
        <f t="shared" si="210"/>
        <v>0.31192119650121203</v>
      </c>
      <c r="AJ140" s="179">
        <f t="shared" si="211"/>
        <v>0.31192119650121203</v>
      </c>
      <c r="AK140" s="179">
        <f t="shared" si="212"/>
        <v>1.2162379233342311</v>
      </c>
      <c r="AM140" s="563">
        <f t="shared" si="213"/>
        <v>33</v>
      </c>
      <c r="AN140" s="472">
        <f t="shared" si="214"/>
        <v>350</v>
      </c>
      <c r="AP140" s="472">
        <f t="shared" si="215"/>
        <v>33</v>
      </c>
      <c r="AQ140" s="472">
        <f t="shared" si="216"/>
        <v>350</v>
      </c>
      <c r="AS140" s="6">
        <f t="shared" si="245"/>
        <v>2.8571428571428572</v>
      </c>
      <c r="AT140" s="6">
        <f t="shared" si="217"/>
        <v>1.4660296235556964</v>
      </c>
      <c r="AU140" s="6">
        <f t="shared" si="218"/>
        <v>1.3911132335871608</v>
      </c>
      <c r="AV140" s="6"/>
      <c r="AW140" s="179">
        <f t="shared" si="219"/>
        <v>0.51311036824449374</v>
      </c>
      <c r="AX140" s="179">
        <f t="shared" si="241"/>
        <v>0.80025000000000002</v>
      </c>
      <c r="AY140" s="179">
        <f t="shared" si="242"/>
        <v>7.5935598250606015E-2</v>
      </c>
      <c r="AZ140" s="179">
        <f t="shared" si="246"/>
        <v>10.538535527948033</v>
      </c>
      <c r="BD140" s="179">
        <f t="shared" si="247"/>
        <v>0.12899998385015271</v>
      </c>
      <c r="BE140" s="179">
        <f t="shared" si="243"/>
        <v>0.12566071426229275</v>
      </c>
      <c r="BG140" s="546">
        <f t="shared" si="220"/>
        <v>5.8243485416688808E-3</v>
      </c>
      <c r="BH140" s="546">
        <f t="shared" si="221"/>
        <v>2.8043665072937093E-2</v>
      </c>
      <c r="BI140" s="546">
        <f t="shared" si="222"/>
        <v>4.3749999999999995E-3</v>
      </c>
      <c r="BJ140" s="546">
        <f t="shared" si="223"/>
        <v>2.0528593750000001E-2</v>
      </c>
      <c r="BK140">
        <f t="shared" si="224"/>
        <v>2.8999999999999998E-3</v>
      </c>
      <c r="BM140" s="472">
        <f t="shared" si="225"/>
        <v>61.671607364605975</v>
      </c>
      <c r="BN140" s="546">
        <f t="shared" si="226"/>
        <v>9.9000000000000008E-3</v>
      </c>
      <c r="BQ140" s="472">
        <f t="shared" si="227"/>
        <v>9.9</v>
      </c>
      <c r="BR140" s="546">
        <f t="shared" si="228"/>
        <v>3.3281991666679321E-3</v>
      </c>
      <c r="BS140" s="546">
        <f t="shared" si="229"/>
        <v>3.1581230217819171E-3</v>
      </c>
      <c r="BT140" s="546">
        <f t="shared" si="230"/>
        <v>6.2266196154140583E-3</v>
      </c>
      <c r="BU140" s="546"/>
      <c r="BV140" s="546">
        <f t="shared" si="231"/>
        <v>6.2998404255319154E-3</v>
      </c>
      <c r="BW140" s="472">
        <f t="shared" si="232"/>
        <v>19.012782229395825</v>
      </c>
      <c r="BX140" s="179">
        <f t="shared" si="233"/>
        <v>9.0584389594001807E-2</v>
      </c>
      <c r="BY140" s="6">
        <f t="shared" si="234"/>
        <v>0.79200000000000004</v>
      </c>
      <c r="BZ140" s="179">
        <f t="shared" si="235"/>
        <v>0.8973646138975202</v>
      </c>
      <c r="CA140" s="6">
        <f t="shared" si="236"/>
        <v>89.736461389752023</v>
      </c>
      <c r="CD140" s="581">
        <f t="shared" si="237"/>
        <v>-50</v>
      </c>
      <c r="CE140">
        <f t="shared" si="238"/>
        <v>-50</v>
      </c>
    </row>
    <row r="141" spans="5:83" x14ac:dyDescent="0.2">
      <c r="E141" s="176">
        <v>31</v>
      </c>
      <c r="F141" s="223">
        <f t="shared" si="239"/>
        <v>3.4099999999999998E-2</v>
      </c>
      <c r="G141" s="223"/>
      <c r="H141" s="223">
        <f t="shared" si="190"/>
        <v>0.81840000000000002</v>
      </c>
      <c r="I141" s="559">
        <f t="shared" si="191"/>
        <v>10</v>
      </c>
      <c r="J141" s="454">
        <f t="shared" si="192"/>
        <v>24.25</v>
      </c>
      <c r="K141" s="454">
        <f t="shared" si="193"/>
        <v>34.25</v>
      </c>
      <c r="L141" s="454"/>
      <c r="M141" s="223">
        <f t="shared" si="194"/>
        <v>0.70802919708029199</v>
      </c>
      <c r="N141" s="178">
        <f t="shared" si="240"/>
        <v>4.8765510948905106</v>
      </c>
      <c r="O141" s="178">
        <f t="shared" si="244"/>
        <v>0.81840000000000002</v>
      </c>
      <c r="P141" s="223">
        <f t="shared" si="195"/>
        <v>0.20318962895377127</v>
      </c>
      <c r="Q141" s="223">
        <f t="shared" si="196"/>
        <v>24</v>
      </c>
      <c r="R141" s="223"/>
      <c r="S141" s="178">
        <f t="shared" si="197"/>
        <v>191.99247655084318</v>
      </c>
      <c r="T141" s="178">
        <f t="shared" si="198"/>
        <v>24</v>
      </c>
      <c r="U141" s="223">
        <f t="shared" si="199"/>
        <v>0.24334411285946825</v>
      </c>
      <c r="V141" s="223">
        <f t="shared" si="200"/>
        <v>1.1437173304395007</v>
      </c>
      <c r="W141" s="223">
        <f t="shared" si="201"/>
        <v>0.47163601255237142</v>
      </c>
      <c r="X141" s="203">
        <f t="shared" si="202"/>
        <v>350</v>
      </c>
      <c r="Y141" s="454">
        <f t="shared" si="203"/>
        <v>350</v>
      </c>
      <c r="AA141" s="223">
        <f t="shared" si="204"/>
        <v>0.43041288576309544</v>
      </c>
      <c r="AB141" s="179">
        <f t="shared" si="205"/>
        <v>0.83420229405630864</v>
      </c>
      <c r="AC141" s="179">
        <f t="shared" si="206"/>
        <v>6.2833997921619769E-2</v>
      </c>
      <c r="AD141" s="179"/>
      <c r="AE141" s="179">
        <f t="shared" si="207"/>
        <v>0.56206185567010303</v>
      </c>
      <c r="AF141" s="563">
        <f t="shared" si="208"/>
        <v>418.41020062235947</v>
      </c>
      <c r="AG141" s="546">
        <f t="shared" si="209"/>
        <v>2.8524639175257726E-2</v>
      </c>
      <c r="AI141" s="179">
        <f t="shared" si="210"/>
        <v>0.31707726806091391</v>
      </c>
      <c r="AJ141" s="179">
        <f t="shared" si="211"/>
        <v>0.31707726806091391</v>
      </c>
      <c r="AK141" s="179">
        <f t="shared" si="212"/>
        <v>1.2200572356006769</v>
      </c>
      <c r="AM141" s="563">
        <f t="shared" si="213"/>
        <v>34.1</v>
      </c>
      <c r="AN141" s="472">
        <f t="shared" si="214"/>
        <v>350</v>
      </c>
      <c r="AP141" s="472">
        <f t="shared" si="215"/>
        <v>34.1</v>
      </c>
      <c r="AQ141" s="472">
        <f t="shared" si="216"/>
        <v>350</v>
      </c>
      <c r="AS141" s="6">
        <f t="shared" si="245"/>
        <v>2.8571428571428572</v>
      </c>
      <c r="AT141" s="6">
        <f t="shared" si="217"/>
        <v>1.4902631598862952</v>
      </c>
      <c r="AU141" s="6">
        <f t="shared" si="218"/>
        <v>1.366879697256562</v>
      </c>
      <c r="AV141" s="6"/>
      <c r="AW141" s="179">
        <f t="shared" si="219"/>
        <v>0.52159210596020333</v>
      </c>
      <c r="AX141" s="179">
        <f t="shared" si="241"/>
        <v>0.82692500000000002</v>
      </c>
      <c r="AY141" s="179">
        <f t="shared" si="242"/>
        <v>7.5846134030456952E-2</v>
      </c>
      <c r="AZ141" s="179">
        <f t="shared" si="246"/>
        <v>10.902665120254357</v>
      </c>
      <c r="BD141" s="179">
        <f t="shared" si="247"/>
        <v>0.13221172915473403</v>
      </c>
      <c r="BE141" s="179">
        <f t="shared" si="243"/>
        <v>0.12662039059424618</v>
      </c>
      <c r="BG141" s="546">
        <f t="shared" si="220"/>
        <v>6.1179794641296617E-3</v>
      </c>
      <c r="BH141" s="546">
        <f t="shared" si="221"/>
        <v>2.8507228131601538E-2</v>
      </c>
      <c r="BI141" s="546">
        <f t="shared" si="222"/>
        <v>4.3749999999999995E-3</v>
      </c>
      <c r="BJ141" s="546">
        <f t="shared" si="223"/>
        <v>2.0528593750000001E-2</v>
      </c>
      <c r="BK141">
        <f t="shared" si="224"/>
        <v>2.8999999999999998E-3</v>
      </c>
      <c r="BM141" s="472">
        <f t="shared" si="225"/>
        <v>62.428801345731202</v>
      </c>
      <c r="BN141" s="546">
        <f t="shared" si="226"/>
        <v>1.023E-2</v>
      </c>
      <c r="BQ141" s="472">
        <f t="shared" si="227"/>
        <v>10.229999999999999</v>
      </c>
      <c r="BR141" s="546">
        <f t="shared" si="228"/>
        <v>3.4959882652169498E-3</v>
      </c>
      <c r="BS141" s="546">
        <f t="shared" si="229"/>
        <v>3.2065446628478933E-3</v>
      </c>
      <c r="BT141" s="546">
        <f t="shared" si="230"/>
        <v>6.4871342303333135E-3</v>
      </c>
      <c r="BU141" s="546"/>
      <c r="BV141" s="546">
        <f t="shared" si="231"/>
        <v>6.5098351063829791E-3</v>
      </c>
      <c r="BW141" s="472">
        <f t="shared" si="232"/>
        <v>19.699502264781135</v>
      </c>
      <c r="BX141" s="179">
        <f t="shared" si="233"/>
        <v>9.2358303610512338E-2</v>
      </c>
      <c r="BY141" s="6">
        <f t="shared" si="234"/>
        <v>0.81840000000000002</v>
      </c>
      <c r="BZ141" s="179">
        <f t="shared" si="235"/>
        <v>0.89859186213908016</v>
      </c>
      <c r="CA141" s="6">
        <f t="shared" si="236"/>
        <v>89.859186213908018</v>
      </c>
      <c r="CD141" s="581">
        <f t="shared" si="237"/>
        <v>-50</v>
      </c>
      <c r="CE141">
        <f t="shared" si="238"/>
        <v>-50</v>
      </c>
    </row>
    <row r="142" spans="5:83" x14ac:dyDescent="0.2">
      <c r="E142" s="176">
        <v>32</v>
      </c>
      <c r="F142" s="223">
        <f t="shared" si="239"/>
        <v>3.5200000000000002E-2</v>
      </c>
      <c r="G142" s="223"/>
      <c r="H142" s="223">
        <f t="shared" ref="H142:H173" si="248">F142*Vout</f>
        <v>0.8448</v>
      </c>
      <c r="I142" s="559">
        <f t="shared" ref="I142:I173" si="249">VIN_min</f>
        <v>10</v>
      </c>
      <c r="J142" s="454">
        <f t="shared" ref="J142:J173" si="250">(T142+Vfwd1)*Nps</f>
        <v>24.25</v>
      </c>
      <c r="K142" s="454">
        <f t="shared" ref="K142:K173" si="251">(Vout+Vfwd1)*Nps+I142</f>
        <v>34.25</v>
      </c>
      <c r="L142" s="454"/>
      <c r="M142" s="223">
        <f t="shared" ref="M142:M173" si="252">(Vout+Vfwd1)*Nps/((Vout+Vfwd1)*Nps+I142)</f>
        <v>0.70802919708029199</v>
      </c>
      <c r="N142" s="178">
        <f t="shared" ref="N142:N173" si="253">M142*I142*Isw_max*0.5*Efficiency</f>
        <v>4.8765510948905106</v>
      </c>
      <c r="O142" s="178">
        <f t="shared" si="244"/>
        <v>0.8448</v>
      </c>
      <c r="P142" s="223">
        <f t="shared" ref="P142:P173" si="254">N142/Vout</f>
        <v>0.20318962895377127</v>
      </c>
      <c r="Q142" s="223">
        <f t="shared" ref="Q142:Q173" si="255">MIN(Vout,N142/F142)</f>
        <v>24</v>
      </c>
      <c r="R142" s="223"/>
      <c r="S142" s="178">
        <f t="shared" ref="S142:S173" si="256">(SQRT(Isw_max^2*Nps^2*I142^2+4*Isw_max*F142/Efficiency*(Nps^2*Vfwd1*I142-Nps*I142^2)+4*(F142/Efficiency)^2*Nps^2*Vfwd1^2+8*(F142/Efficiency)^2*Nps*Vfwd1*I142+4*(F142/Efficiency)^2*I142^2)-2*F142/Efficiency*I142-2*F142/Efficiency*Nps*Vfwd1+Isw_max*Nps*I142)/(4*F142/Efficiency*Nps)</f>
        <v>185.68105948025323</v>
      </c>
      <c r="T142" s="178">
        <f t="shared" ref="T142:T173" si="257">MIN(Vout, S142)</f>
        <v>24</v>
      </c>
      <c r="U142" s="223">
        <f t="shared" ref="U142:U173" si="258">MIN(2*Vout*F142/(Efficiency*I142*M142), Isw_max)</f>
        <v>0.25119392295170917</v>
      </c>
      <c r="V142" s="223">
        <f t="shared" ref="V142:V173" si="259">L*U142/I142*1000000</f>
        <v>1.180611437873033</v>
      </c>
      <c r="W142" s="223">
        <f t="shared" ref="W142:W173" si="260">L*U142/J142*1000000</f>
        <v>0.48685007747341574</v>
      </c>
      <c r="X142" s="203">
        <f t="shared" ref="X142:X173" si="261">IF(1/((350000*L)*(1/I142+1/J142))&gt;Isw_min, 350, 0.001/((Isw_min*L)*(1/I142+1/J142)))</f>
        <v>350</v>
      </c>
      <c r="Y142" s="454">
        <f t="shared" si="203"/>
        <v>350</v>
      </c>
      <c r="AA142" s="223">
        <f t="shared" ref="AA142:AA173" si="262">1/((X142*1000*L)*(1/I142+1/J142))</f>
        <v>0.43041288576309544</v>
      </c>
      <c r="AB142" s="179">
        <f t="shared" ref="AB142:AB173" si="263">L*AA142/J142*1000000</f>
        <v>0.83420229405630864</v>
      </c>
      <c r="AC142" s="179">
        <f t="shared" ref="AC142:AC173" si="264">0.5*AB142*AA142*Nps*X142/1000</f>
        <v>6.2833997921619769E-2</v>
      </c>
      <c r="AD142" s="179"/>
      <c r="AE142" s="179">
        <f t="shared" ref="AE142:AE173" si="265">L*Isw_min/J142*1000000</f>
        <v>0.56206185567010303</v>
      </c>
      <c r="AF142" s="563">
        <f t="shared" ref="AF142:AF173" si="266">MAX(10000,F142/(0.5*AE142/1000000*Isw_min*Nps))/1000</f>
        <v>431.90730386824208</v>
      </c>
      <c r="AG142" s="546">
        <f t="shared" ref="AG142:AG173" si="267">0.5*AE142/1000000*Isw_min*Nps*X142*1000</f>
        <v>2.8524639175257726E-2</v>
      </c>
      <c r="AI142" s="179">
        <f t="shared" ref="AI142:AI173" si="268">SQRT(F142/(0.5*L/J142*Fsw_DCM*Nps))</f>
        <v>0.32215082650087612</v>
      </c>
      <c r="AJ142" s="179">
        <f t="shared" ref="AJ142:AJ173" si="269">MAX(IF(F142&gt;AC142,U142,AI142),Isw_min)</f>
        <v>0.32215082650087612</v>
      </c>
      <c r="AK142" s="179">
        <f t="shared" ref="AK142:AK173" si="270">IF(F142&gt;AG142, (AJ142-Isw_min)/1.08*0.8+1.2, AF142*0.2/350+1)</f>
        <v>1.223815427037686</v>
      </c>
      <c r="AM142" s="563">
        <f t="shared" ref="AM142:AM173" si="271">F142*1000</f>
        <v>35.200000000000003</v>
      </c>
      <c r="AN142" s="472">
        <f t="shared" ref="AN142:AN173" si="272">IF(F142&gt;AG142, Y142, AF142)</f>
        <v>350</v>
      </c>
      <c r="AP142" s="472">
        <f t="shared" ref="AP142:AP173" si="273">IF(H142&gt;N142, "",AM142)</f>
        <v>35.200000000000003</v>
      </c>
      <c r="AQ142" s="472">
        <f t="shared" ref="AQ142:AQ173" si="274">IF(H142&gt;N142, "",AN142)</f>
        <v>350</v>
      </c>
      <c r="AS142" s="6">
        <f t="shared" si="245"/>
        <v>2.8571428571428572</v>
      </c>
      <c r="AT142" s="6">
        <f t="shared" ref="AT142:AT173" si="275">L*AJ142/I142*1000000</f>
        <v>1.5141088845541175</v>
      </c>
      <c r="AU142" s="6">
        <f t="shared" si="218"/>
        <v>1.3430339725887397</v>
      </c>
      <c r="AV142" s="6"/>
      <c r="AW142" s="179">
        <f t="shared" si="219"/>
        <v>0.52993810959394116</v>
      </c>
      <c r="AX142" s="179">
        <f t="shared" si="241"/>
        <v>0.85360000000000014</v>
      </c>
      <c r="AY142" s="179">
        <f t="shared" si="242"/>
        <v>7.5715413250438054E-2</v>
      </c>
      <c r="AZ142" s="179">
        <f t="shared" si="246"/>
        <v>11.273794374952601</v>
      </c>
      <c r="BD142" s="179">
        <f t="shared" si="247"/>
        <v>0.13539767243227088</v>
      </c>
      <c r="BE142" s="179">
        <f t="shared" si="243"/>
        <v>0.12751936573839548</v>
      </c>
      <c r="BG142" s="546">
        <f t="shared" si="220"/>
        <v>6.4163853950267849E-3</v>
      </c>
      <c r="BH142" s="546">
        <f t="shared" si="221"/>
        <v>2.896337274509439E-2</v>
      </c>
      <c r="BI142" s="546">
        <f t="shared" si="222"/>
        <v>4.3749999999999995E-3</v>
      </c>
      <c r="BJ142" s="546">
        <f t="shared" si="223"/>
        <v>2.0528593750000001E-2</v>
      </c>
      <c r="BK142">
        <f t="shared" si="224"/>
        <v>2.8999999999999998E-3</v>
      </c>
      <c r="BM142" s="472">
        <f t="shared" si="225"/>
        <v>63.183351890121173</v>
      </c>
      <c r="BN142" s="546">
        <f t="shared" si="226"/>
        <v>1.056E-2</v>
      </c>
      <c r="BQ142" s="472">
        <f t="shared" si="227"/>
        <v>10.56</v>
      </c>
      <c r="BR142" s="546">
        <f t="shared" si="228"/>
        <v>3.6665059400153056E-3</v>
      </c>
      <c r="BS142" s="546">
        <f t="shared" si="229"/>
        <v>3.2522377276645344E-3</v>
      </c>
      <c r="BT142" s="546">
        <f t="shared" si="230"/>
        <v>6.7497585853733902E-3</v>
      </c>
      <c r="BU142" s="546"/>
      <c r="BV142" s="546">
        <f t="shared" si="231"/>
        <v>6.7198297872340437E-3</v>
      </c>
      <c r="BW142" s="472">
        <f t="shared" si="232"/>
        <v>20.388332040287274</v>
      </c>
      <c r="BX142" s="179">
        <f t="shared" si="233"/>
        <v>9.4131683930408439E-2</v>
      </c>
      <c r="BY142" s="6">
        <f t="shared" si="234"/>
        <v>0.8448</v>
      </c>
      <c r="BZ142" s="179">
        <f t="shared" si="235"/>
        <v>0.89974597136144219</v>
      </c>
      <c r="CA142" s="6">
        <f t="shared" si="236"/>
        <v>89.974597136144212</v>
      </c>
      <c r="CD142" s="581">
        <f t="shared" ref="CD142:CD173" si="276">IF(ABS(F142-Ioutmax_Vinmin)&lt;Iout/200, AN142, -50)</f>
        <v>-50</v>
      </c>
      <c r="CE142">
        <f t="shared" ref="CE142:CE173" si="277">IF(ABS(F142-Ioutmax_Vinmin)&lt;Iout/200, N142*BZ142, -50)</f>
        <v>-50</v>
      </c>
    </row>
    <row r="143" spans="5:83" x14ac:dyDescent="0.2">
      <c r="E143" s="176">
        <v>33</v>
      </c>
      <c r="F143" s="223">
        <f t="shared" ref="F143:F174" si="278">IF(PLOT_TYPE=1, E143/100*Iout_max, min_I*EXP(N143*rr/100))</f>
        <v>3.6299999999999999E-2</v>
      </c>
      <c r="G143" s="223"/>
      <c r="H143" s="223">
        <f t="shared" si="248"/>
        <v>0.87119999999999997</v>
      </c>
      <c r="I143" s="559">
        <f t="shared" si="249"/>
        <v>10</v>
      </c>
      <c r="J143" s="454">
        <f t="shared" si="250"/>
        <v>24.25</v>
      </c>
      <c r="K143" s="454">
        <f t="shared" si="251"/>
        <v>34.25</v>
      </c>
      <c r="L143" s="454"/>
      <c r="M143" s="223">
        <f t="shared" si="252"/>
        <v>0.70802919708029199</v>
      </c>
      <c r="N143" s="178">
        <f t="shared" si="253"/>
        <v>4.8765510948905106</v>
      </c>
      <c r="O143" s="178">
        <f t="shared" si="244"/>
        <v>0.87119999999999997</v>
      </c>
      <c r="P143" s="223">
        <f t="shared" si="254"/>
        <v>0.20318962895377127</v>
      </c>
      <c r="Q143" s="223">
        <f t="shared" si="255"/>
        <v>24</v>
      </c>
      <c r="R143" s="223"/>
      <c r="S143" s="178">
        <f t="shared" si="256"/>
        <v>179.75218073164388</v>
      </c>
      <c r="T143" s="178">
        <f t="shared" si="257"/>
        <v>24</v>
      </c>
      <c r="U143" s="223">
        <f t="shared" si="258"/>
        <v>0.25904373304395006</v>
      </c>
      <c r="V143" s="223">
        <f t="shared" si="259"/>
        <v>1.2175055453065653</v>
      </c>
      <c r="W143" s="223">
        <f t="shared" si="260"/>
        <v>0.50206414239445984</v>
      </c>
      <c r="X143" s="203">
        <f t="shared" si="261"/>
        <v>350</v>
      </c>
      <c r="Y143" s="454">
        <f t="shared" si="203"/>
        <v>350</v>
      </c>
      <c r="AA143" s="223">
        <f t="shared" si="262"/>
        <v>0.43041288576309544</v>
      </c>
      <c r="AB143" s="179">
        <f t="shared" si="263"/>
        <v>0.83420229405630864</v>
      </c>
      <c r="AC143" s="179">
        <f t="shared" si="264"/>
        <v>6.2833997921619769E-2</v>
      </c>
      <c r="AD143" s="179"/>
      <c r="AE143" s="179">
        <f t="shared" si="265"/>
        <v>0.56206185567010303</v>
      </c>
      <c r="AF143" s="563">
        <f t="shared" si="266"/>
        <v>445.40440711412464</v>
      </c>
      <c r="AG143" s="546">
        <f t="shared" si="267"/>
        <v>2.8524639175257726E-2</v>
      </c>
      <c r="AI143" s="179">
        <f t="shared" si="268"/>
        <v>0.32714571082229171</v>
      </c>
      <c r="AJ143" s="179">
        <f t="shared" si="269"/>
        <v>0.32714571082229171</v>
      </c>
      <c r="AK143" s="179">
        <f t="shared" si="270"/>
        <v>1.2275153413498456</v>
      </c>
      <c r="AM143" s="563">
        <f t="shared" si="271"/>
        <v>36.299999999999997</v>
      </c>
      <c r="AN143" s="472">
        <f t="shared" si="272"/>
        <v>350</v>
      </c>
      <c r="AP143" s="472">
        <f t="shared" si="273"/>
        <v>36.299999999999997</v>
      </c>
      <c r="AQ143" s="472">
        <f t="shared" si="274"/>
        <v>350</v>
      </c>
      <c r="AS143" s="6">
        <f t="shared" si="245"/>
        <v>2.8571428571428572</v>
      </c>
      <c r="AT143" s="6">
        <f t="shared" si="275"/>
        <v>1.5375848408647708</v>
      </c>
      <c r="AU143" s="6">
        <f t="shared" si="218"/>
        <v>1.3195580162780864</v>
      </c>
      <c r="AV143" s="6"/>
      <c r="AW143" s="179">
        <f t="shared" si="219"/>
        <v>0.53815469430266971</v>
      </c>
      <c r="AX143" s="179">
        <f t="shared" si="241"/>
        <v>0.88027500000000003</v>
      </c>
      <c r="AY143" s="179">
        <f t="shared" si="242"/>
        <v>7.5545355411145862E-2</v>
      </c>
      <c r="AZ143" s="179">
        <f t="shared" si="246"/>
        <v>11.652271608349935</v>
      </c>
      <c r="BD143" s="179">
        <f t="shared" si="247"/>
        <v>0.13855881797852559</v>
      </c>
      <c r="BE143" s="179">
        <f t="shared" si="243"/>
        <v>0.12835975224683158</v>
      </c>
      <c r="BG143" s="546">
        <f t="shared" si="220"/>
        <v>6.7194911138621647E-3</v>
      </c>
      <c r="BH143" s="546">
        <f t="shared" si="221"/>
        <v>2.941244406361666E-2</v>
      </c>
      <c r="BI143" s="546">
        <f t="shared" si="222"/>
        <v>4.3749999999999995E-3</v>
      </c>
      <c r="BJ143" s="546">
        <f t="shared" si="223"/>
        <v>2.0528593750000001E-2</v>
      </c>
      <c r="BK143">
        <f t="shared" si="224"/>
        <v>2.8999999999999998E-3</v>
      </c>
      <c r="BM143" s="472">
        <f t="shared" si="225"/>
        <v>63.935528927478821</v>
      </c>
      <c r="BN143" s="546">
        <f t="shared" si="226"/>
        <v>1.0889999999999999E-2</v>
      </c>
      <c r="BQ143" s="472">
        <f t="shared" si="227"/>
        <v>10.889999999999999</v>
      </c>
      <c r="BR143" s="546">
        <f t="shared" si="228"/>
        <v>3.8397092079212377E-3</v>
      </c>
      <c r="BS143" s="546">
        <f t="shared" si="229"/>
        <v>3.2952451993735971E-3</v>
      </c>
      <c r="BT143" s="546">
        <f t="shared" si="230"/>
        <v>7.014443023353991E-3</v>
      </c>
      <c r="BU143" s="546"/>
      <c r="BV143" s="546">
        <f t="shared" si="231"/>
        <v>6.9298244680851074E-3</v>
      </c>
      <c r="BW143" s="472">
        <f t="shared" si="232"/>
        <v>21.079221898733934</v>
      </c>
      <c r="BX143" s="179">
        <f t="shared" si="233"/>
        <v>9.5904750826212762E-2</v>
      </c>
      <c r="BY143" s="6">
        <f t="shared" si="234"/>
        <v>0.87119999999999997</v>
      </c>
      <c r="BZ143" s="179">
        <f t="shared" si="235"/>
        <v>0.90083313028471856</v>
      </c>
      <c r="CA143" s="6">
        <f t="shared" si="236"/>
        <v>90.083313028471849</v>
      </c>
      <c r="CD143" s="581">
        <f t="shared" si="276"/>
        <v>-50</v>
      </c>
      <c r="CE143">
        <f t="shared" si="277"/>
        <v>-50</v>
      </c>
    </row>
    <row r="144" spans="5:83" x14ac:dyDescent="0.2">
      <c r="E144" s="176">
        <v>34</v>
      </c>
      <c r="F144" s="223">
        <f t="shared" si="278"/>
        <v>3.7400000000000003E-2</v>
      </c>
      <c r="G144" s="223"/>
      <c r="H144" s="223">
        <f t="shared" si="248"/>
        <v>0.89760000000000006</v>
      </c>
      <c r="I144" s="559">
        <f t="shared" si="249"/>
        <v>10</v>
      </c>
      <c r="J144" s="454">
        <f t="shared" si="250"/>
        <v>24.25</v>
      </c>
      <c r="K144" s="454">
        <f t="shared" si="251"/>
        <v>34.25</v>
      </c>
      <c r="L144" s="454"/>
      <c r="M144" s="223">
        <f t="shared" si="252"/>
        <v>0.70802919708029199</v>
      </c>
      <c r="N144" s="178">
        <f t="shared" si="253"/>
        <v>4.8765510948905106</v>
      </c>
      <c r="O144" s="178">
        <f t="shared" si="244"/>
        <v>0.89760000000000006</v>
      </c>
      <c r="P144" s="223">
        <f t="shared" si="254"/>
        <v>0.20318962895377127</v>
      </c>
      <c r="Q144" s="223">
        <f t="shared" si="255"/>
        <v>24</v>
      </c>
      <c r="R144" s="223"/>
      <c r="S144" s="178">
        <f t="shared" si="256"/>
        <v>174.17208705785779</v>
      </c>
      <c r="T144" s="178">
        <f t="shared" si="257"/>
        <v>24</v>
      </c>
      <c r="U144" s="223">
        <f t="shared" si="258"/>
        <v>0.26689354313619101</v>
      </c>
      <c r="V144" s="223">
        <f t="shared" si="259"/>
        <v>1.2543996527400976</v>
      </c>
      <c r="W144" s="223">
        <f t="shared" si="260"/>
        <v>0.51727820731550411</v>
      </c>
      <c r="X144" s="203">
        <f t="shared" si="261"/>
        <v>350</v>
      </c>
      <c r="Y144" s="454">
        <f t="shared" si="203"/>
        <v>350</v>
      </c>
      <c r="AA144" s="223">
        <f t="shared" si="262"/>
        <v>0.43041288576309544</v>
      </c>
      <c r="AB144" s="179">
        <f t="shared" si="263"/>
        <v>0.83420229405630864</v>
      </c>
      <c r="AC144" s="179">
        <f t="shared" si="264"/>
        <v>6.2833997921619769E-2</v>
      </c>
      <c r="AD144" s="179"/>
      <c r="AE144" s="179">
        <f t="shared" si="265"/>
        <v>0.56206185567010303</v>
      </c>
      <c r="AF144" s="563">
        <f t="shared" si="266"/>
        <v>458.90151036000725</v>
      </c>
      <c r="AG144" s="546">
        <f t="shared" si="267"/>
        <v>2.8524639175257726E-2</v>
      </c>
      <c r="AI144" s="179">
        <f t="shared" si="268"/>
        <v>0.33206547126078528</v>
      </c>
      <c r="AJ144" s="179">
        <f t="shared" si="269"/>
        <v>0.33206547126078528</v>
      </c>
      <c r="AK144" s="179">
        <f t="shared" si="270"/>
        <v>1.2311596083413223</v>
      </c>
      <c r="AM144" s="563">
        <f t="shared" si="271"/>
        <v>37.400000000000006</v>
      </c>
      <c r="AN144" s="472">
        <f t="shared" si="272"/>
        <v>350</v>
      </c>
      <c r="AP144" s="472">
        <f t="shared" si="273"/>
        <v>37.400000000000006</v>
      </c>
      <c r="AQ144" s="472">
        <f t="shared" si="274"/>
        <v>350</v>
      </c>
      <c r="AS144" s="6">
        <f t="shared" si="245"/>
        <v>2.8571428571428572</v>
      </c>
      <c r="AT144" s="6">
        <f t="shared" si="275"/>
        <v>1.5607077149256907</v>
      </c>
      <c r="AU144" s="6">
        <f t="shared" si="218"/>
        <v>1.2964351422171665</v>
      </c>
      <c r="AV144" s="6"/>
      <c r="AW144" s="179">
        <f t="shared" si="219"/>
        <v>0.54624770022399172</v>
      </c>
      <c r="AX144" s="179">
        <f t="shared" si="241"/>
        <v>0.90694999999999992</v>
      </c>
      <c r="AY144" s="179">
        <f t="shared" si="242"/>
        <v>7.5337735630392658E-2</v>
      </c>
      <c r="AZ144" s="179">
        <f t="shared" si="246"/>
        <v>12.03845579391318</v>
      </c>
      <c r="BD144" s="179">
        <f t="shared" si="247"/>
        <v>0.14169610184239817</v>
      </c>
      <c r="BE144" s="179">
        <f t="shared" si="243"/>
        <v>0.12914348786221419</v>
      </c>
      <c r="BG144" s="546">
        <f t="shared" si="220"/>
        <v>7.0272248470659455E-3</v>
      </c>
      <c r="BH144" s="546">
        <f t="shared" si="221"/>
        <v>2.9854761275539973E-2</v>
      </c>
      <c r="BI144" s="546">
        <f t="shared" si="222"/>
        <v>4.3749999999999995E-3</v>
      </c>
      <c r="BJ144" s="546">
        <f t="shared" si="223"/>
        <v>2.0528593750000001E-2</v>
      </c>
      <c r="BK144">
        <f t="shared" si="224"/>
        <v>2.8999999999999998E-3</v>
      </c>
      <c r="BM144" s="472">
        <f t="shared" si="225"/>
        <v>64.685579872605913</v>
      </c>
      <c r="BN144" s="546">
        <f t="shared" si="226"/>
        <v>1.1220000000000001E-2</v>
      </c>
      <c r="BQ144" s="472">
        <f t="shared" si="227"/>
        <v>11.22</v>
      </c>
      <c r="BR144" s="546">
        <f t="shared" si="228"/>
        <v>4.0155570554662552E-3</v>
      </c>
      <c r="BS144" s="546">
        <f t="shared" si="229"/>
        <v>3.3356080914435727E-3</v>
      </c>
      <c r="BT144" s="546">
        <f t="shared" si="230"/>
        <v>7.2811405317402614E-3</v>
      </c>
      <c r="BU144" s="546"/>
      <c r="BV144" s="546">
        <f t="shared" si="231"/>
        <v>7.1398191489361711E-3</v>
      </c>
      <c r="BW144" s="472">
        <f t="shared" si="232"/>
        <v>21.772124827586261</v>
      </c>
      <c r="BX144" s="179">
        <f t="shared" si="233"/>
        <v>9.7677704700192172E-2</v>
      </c>
      <c r="BY144" s="6">
        <f t="shared" si="234"/>
        <v>0.89760000000000006</v>
      </c>
      <c r="BZ144" s="179">
        <f t="shared" si="235"/>
        <v>0.901858843779068</v>
      </c>
      <c r="CA144" s="6">
        <f t="shared" si="236"/>
        <v>90.185884377906802</v>
      </c>
      <c r="CD144" s="581">
        <f t="shared" si="276"/>
        <v>-50</v>
      </c>
      <c r="CE144">
        <f t="shared" si="277"/>
        <v>-50</v>
      </c>
    </row>
    <row r="145" spans="5:83" x14ac:dyDescent="0.2">
      <c r="E145" s="176">
        <v>35</v>
      </c>
      <c r="F145" s="223">
        <f t="shared" si="278"/>
        <v>3.85E-2</v>
      </c>
      <c r="G145" s="223"/>
      <c r="H145" s="223">
        <f t="shared" si="248"/>
        <v>0.92399999999999993</v>
      </c>
      <c r="I145" s="559">
        <f t="shared" si="249"/>
        <v>10</v>
      </c>
      <c r="J145" s="454">
        <f t="shared" si="250"/>
        <v>24.25</v>
      </c>
      <c r="K145" s="454">
        <f t="shared" si="251"/>
        <v>34.25</v>
      </c>
      <c r="L145" s="454"/>
      <c r="M145" s="223">
        <f t="shared" si="252"/>
        <v>0.70802919708029199</v>
      </c>
      <c r="N145" s="178">
        <f t="shared" si="253"/>
        <v>4.8765510948905106</v>
      </c>
      <c r="O145" s="178">
        <f t="shared" si="244"/>
        <v>0.92399999999999993</v>
      </c>
      <c r="P145" s="223">
        <f t="shared" si="254"/>
        <v>0.20318962895377127</v>
      </c>
      <c r="Q145" s="223">
        <f t="shared" si="255"/>
        <v>24</v>
      </c>
      <c r="R145" s="223"/>
      <c r="S145" s="178">
        <f t="shared" si="256"/>
        <v>168.91088272652678</v>
      </c>
      <c r="T145" s="178">
        <f t="shared" si="257"/>
        <v>24</v>
      </c>
      <c r="U145" s="223">
        <f t="shared" si="258"/>
        <v>0.27474335322843185</v>
      </c>
      <c r="V145" s="223">
        <f t="shared" si="259"/>
        <v>1.2912937601736296</v>
      </c>
      <c r="W145" s="223">
        <f t="shared" si="260"/>
        <v>0.53249227223654827</v>
      </c>
      <c r="X145" s="203">
        <f t="shared" si="261"/>
        <v>350</v>
      </c>
      <c r="Y145" s="454">
        <f t="shared" si="203"/>
        <v>350</v>
      </c>
      <c r="AA145" s="223">
        <f t="shared" si="262"/>
        <v>0.43041288576309544</v>
      </c>
      <c r="AB145" s="179">
        <f t="shared" si="263"/>
        <v>0.83420229405630864</v>
      </c>
      <c r="AC145" s="179">
        <f t="shared" si="264"/>
        <v>6.2833997921619769E-2</v>
      </c>
      <c r="AD145" s="179"/>
      <c r="AE145" s="179">
        <f t="shared" si="265"/>
        <v>0.56206185567010303</v>
      </c>
      <c r="AF145" s="563">
        <f t="shared" si="266"/>
        <v>472.39861360588975</v>
      </c>
      <c r="AG145" s="546">
        <f t="shared" si="267"/>
        <v>2.8524639175257726E-2</v>
      </c>
      <c r="AI145" s="179">
        <f t="shared" si="268"/>
        <v>0.33691339881024673</v>
      </c>
      <c r="AJ145" s="179">
        <f t="shared" si="269"/>
        <v>0.33691339881024673</v>
      </c>
      <c r="AK145" s="179">
        <f t="shared" si="270"/>
        <v>1.234750665785368</v>
      </c>
      <c r="AM145" s="563">
        <f t="shared" si="271"/>
        <v>38.5</v>
      </c>
      <c r="AN145" s="472">
        <f t="shared" si="272"/>
        <v>350</v>
      </c>
      <c r="AP145" s="472">
        <f t="shared" si="273"/>
        <v>38.5</v>
      </c>
      <c r="AQ145" s="472">
        <f t="shared" si="274"/>
        <v>350</v>
      </c>
      <c r="AS145" s="6">
        <f t="shared" si="245"/>
        <v>2.8571428571428572</v>
      </c>
      <c r="AT145" s="6">
        <f t="shared" si="275"/>
        <v>1.5834929744081594</v>
      </c>
      <c r="AU145" s="6">
        <f t="shared" si="218"/>
        <v>1.2736498827346978</v>
      </c>
      <c r="AV145" s="6"/>
      <c r="AW145" s="179">
        <f t="shared" si="219"/>
        <v>0.55422254104285573</v>
      </c>
      <c r="AX145" s="179">
        <f t="shared" si="241"/>
        <v>0.93362500000000015</v>
      </c>
      <c r="AY145" s="179">
        <f t="shared" si="242"/>
        <v>7.5094199405123366E-2</v>
      </c>
      <c r="AZ145" s="179">
        <f t="shared" si="246"/>
        <v>12.432717938215383</v>
      </c>
      <c r="BD145" s="179">
        <f t="shared" si="247"/>
        <v>0.14481039832926745</v>
      </c>
      <c r="BE145" s="179">
        <f t="shared" si="243"/>
        <v>0.12987235259416463</v>
      </c>
      <c r="BG145" s="546">
        <f t="shared" si="220"/>
        <v>7.3395180124983866E-3</v>
      </c>
      <c r="BH145" s="546">
        <f t="shared" si="221"/>
        <v>3.0290620261783745E-2</v>
      </c>
      <c r="BI145" s="546">
        <f t="shared" si="222"/>
        <v>4.3749999999999995E-3</v>
      </c>
      <c r="BJ145" s="546">
        <f t="shared" si="223"/>
        <v>2.0528593750000001E-2</v>
      </c>
      <c r="BK145">
        <f t="shared" si="224"/>
        <v>2.8999999999999998E-3</v>
      </c>
      <c r="BM145" s="472">
        <f t="shared" si="225"/>
        <v>65.433732024282122</v>
      </c>
      <c r="BN145" s="546">
        <f t="shared" si="226"/>
        <v>1.155E-2</v>
      </c>
      <c r="BQ145" s="472">
        <f t="shared" si="227"/>
        <v>11.549999999999999</v>
      </c>
      <c r="BR145" s="546">
        <f t="shared" si="228"/>
        <v>4.1940102928562217E-3</v>
      </c>
      <c r="BS145" s="546">
        <f t="shared" si="229"/>
        <v>3.3733655936686044E-3</v>
      </c>
      <c r="BT145" s="546">
        <f t="shared" si="230"/>
        <v>7.5498065278109452E-3</v>
      </c>
      <c r="BU145" s="546"/>
      <c r="BV145" s="546">
        <f t="shared" si="231"/>
        <v>7.3498138297872365E-3</v>
      </c>
      <c r="BW145" s="472">
        <f t="shared" si="232"/>
        <v>22.466996244123006</v>
      </c>
      <c r="BX145" s="179">
        <f t="shared" si="233"/>
        <v>9.9450728268405134E-2</v>
      </c>
      <c r="BY145" s="6">
        <f t="shared" si="234"/>
        <v>0.92399999999999993</v>
      </c>
      <c r="BZ145" s="179">
        <f t="shared" si="235"/>
        <v>0.9028280253054608</v>
      </c>
      <c r="CA145" s="6">
        <f t="shared" si="236"/>
        <v>90.282802530546078</v>
      </c>
      <c r="CD145" s="581">
        <f t="shared" si="276"/>
        <v>-50</v>
      </c>
      <c r="CE145">
        <f t="shared" si="277"/>
        <v>-50</v>
      </c>
    </row>
    <row r="146" spans="5:83" x14ac:dyDescent="0.2">
      <c r="E146" s="176">
        <v>36</v>
      </c>
      <c r="F146" s="223">
        <f t="shared" si="278"/>
        <v>3.9599999999999996E-2</v>
      </c>
      <c r="G146" s="223"/>
      <c r="H146" s="223">
        <f t="shared" si="248"/>
        <v>0.95039999999999991</v>
      </c>
      <c r="I146" s="559">
        <f t="shared" si="249"/>
        <v>10</v>
      </c>
      <c r="J146" s="454">
        <f t="shared" si="250"/>
        <v>24.25</v>
      </c>
      <c r="K146" s="454">
        <f t="shared" si="251"/>
        <v>34.25</v>
      </c>
      <c r="L146" s="454"/>
      <c r="M146" s="223">
        <f t="shared" si="252"/>
        <v>0.70802919708029199</v>
      </c>
      <c r="N146" s="178">
        <f t="shared" si="253"/>
        <v>4.8765510948905106</v>
      </c>
      <c r="O146" s="178">
        <f t="shared" si="244"/>
        <v>0.95039999999999991</v>
      </c>
      <c r="P146" s="223">
        <f t="shared" si="254"/>
        <v>0.20318962895377127</v>
      </c>
      <c r="Q146" s="223">
        <f t="shared" si="255"/>
        <v>24</v>
      </c>
      <c r="R146" s="223"/>
      <c r="S146" s="178">
        <f t="shared" si="256"/>
        <v>163.94199375413504</v>
      </c>
      <c r="T146" s="178">
        <f t="shared" si="257"/>
        <v>24</v>
      </c>
      <c r="U146" s="223">
        <f t="shared" si="258"/>
        <v>0.2825931633206728</v>
      </c>
      <c r="V146" s="223">
        <f t="shared" si="259"/>
        <v>1.3281878676071621</v>
      </c>
      <c r="W146" s="223">
        <f t="shared" si="260"/>
        <v>0.54770633715759254</v>
      </c>
      <c r="X146" s="203">
        <f t="shared" si="261"/>
        <v>350</v>
      </c>
      <c r="Y146" s="454">
        <f t="shared" si="203"/>
        <v>350</v>
      </c>
      <c r="AA146" s="223">
        <f t="shared" si="262"/>
        <v>0.43041288576309544</v>
      </c>
      <c r="AB146" s="179">
        <f t="shared" si="263"/>
        <v>0.83420229405630864</v>
      </c>
      <c r="AC146" s="179">
        <f t="shared" si="264"/>
        <v>6.2833997921619769E-2</v>
      </c>
      <c r="AD146" s="179"/>
      <c r="AE146" s="179">
        <f t="shared" si="265"/>
        <v>0.56206185567010303</v>
      </c>
      <c r="AF146" s="563">
        <f t="shared" si="266"/>
        <v>485.89571685177225</v>
      </c>
      <c r="AG146" s="546">
        <f t="shared" si="267"/>
        <v>2.8524639175257726E-2</v>
      </c>
      <c r="AI146" s="179">
        <f t="shared" si="268"/>
        <v>0.34169255097543061</v>
      </c>
      <c r="AJ146" s="179">
        <f t="shared" si="269"/>
        <v>0.34169255097543061</v>
      </c>
      <c r="AK146" s="179">
        <f t="shared" si="270"/>
        <v>1.238290778500319</v>
      </c>
      <c r="AM146" s="563">
        <f t="shared" si="271"/>
        <v>39.599999999999994</v>
      </c>
      <c r="AN146" s="472">
        <f t="shared" si="272"/>
        <v>350</v>
      </c>
      <c r="AP146" s="472">
        <f t="shared" si="273"/>
        <v>39.599999999999994</v>
      </c>
      <c r="AQ146" s="472">
        <f t="shared" si="274"/>
        <v>350</v>
      </c>
      <c r="AS146" s="6">
        <f t="shared" si="245"/>
        <v>2.8571428571428572</v>
      </c>
      <c r="AT146" s="6">
        <f t="shared" si="275"/>
        <v>1.605954989584524</v>
      </c>
      <c r="AU146" s="6">
        <f t="shared" si="218"/>
        <v>1.2511878675583332</v>
      </c>
      <c r="AV146" s="6"/>
      <c r="AW146" s="179">
        <f t="shared" si="219"/>
        <v>0.56208424635458343</v>
      </c>
      <c r="AX146" s="179">
        <f t="shared" si="241"/>
        <v>0.96029999999999982</v>
      </c>
      <c r="AY146" s="179">
        <f t="shared" si="242"/>
        <v>7.4816275487715314E-2</v>
      </c>
      <c r="AZ146" s="179">
        <f t="shared" si="246"/>
        <v>12.835442472108616</v>
      </c>
      <c r="BD146" s="179">
        <f t="shared" si="247"/>
        <v>0.14790252571692977</v>
      </c>
      <c r="BE146" s="179">
        <f t="shared" si="243"/>
        <v>0.1305479835817161</v>
      </c>
      <c r="BG146" s="546">
        <f t="shared" si="220"/>
        <v>7.6563049897064757E-3</v>
      </c>
      <c r="BH146" s="546">
        <f t="shared" si="221"/>
        <v>3.0720295911134808E-2</v>
      </c>
      <c r="BI146" s="546">
        <f t="shared" si="222"/>
        <v>4.3749999999999995E-3</v>
      </c>
      <c r="BJ146" s="546">
        <f t="shared" si="223"/>
        <v>2.0528593750000001E-2</v>
      </c>
      <c r="BK146">
        <f t="shared" si="224"/>
        <v>2.8999999999999998E-3</v>
      </c>
      <c r="BM146" s="472">
        <f t="shared" si="225"/>
        <v>66.180194650841287</v>
      </c>
      <c r="BN146" s="546">
        <f t="shared" si="226"/>
        <v>1.1879999999999998E-2</v>
      </c>
      <c r="BQ146" s="472">
        <f t="shared" si="227"/>
        <v>11.879999999999999</v>
      </c>
      <c r="BR146" s="546">
        <f t="shared" si="228"/>
        <v>4.3750314226894153E-3</v>
      </c>
      <c r="BS146" s="546">
        <f t="shared" si="229"/>
        <v>3.408555203450403E-3</v>
      </c>
      <c r="BT146" s="546">
        <f t="shared" si="230"/>
        <v>7.8203986669446134E-3</v>
      </c>
      <c r="BU146" s="546"/>
      <c r="BV146" s="546">
        <f t="shared" si="231"/>
        <v>7.5598085106382976E-3</v>
      </c>
      <c r="BW146" s="472">
        <f t="shared" si="232"/>
        <v>23.163793803722729</v>
      </c>
      <c r="BX146" s="179">
        <f t="shared" si="233"/>
        <v>0.10122398845456401</v>
      </c>
      <c r="BY146" s="6">
        <f t="shared" si="234"/>
        <v>0.95039999999999991</v>
      </c>
      <c r="BZ146" s="179">
        <f t="shared" si="235"/>
        <v>0.9037450746979252</v>
      </c>
      <c r="CA146" s="6">
        <f t="shared" si="236"/>
        <v>90.374507469792519</v>
      </c>
      <c r="CD146" s="581">
        <f t="shared" si="276"/>
        <v>-50</v>
      </c>
      <c r="CE146">
        <f t="shared" si="277"/>
        <v>-50</v>
      </c>
    </row>
    <row r="147" spans="5:83" x14ac:dyDescent="0.2">
      <c r="E147" s="176">
        <v>37</v>
      </c>
      <c r="F147" s="223">
        <f t="shared" si="278"/>
        <v>4.07E-2</v>
      </c>
      <c r="G147" s="223"/>
      <c r="H147" s="223">
        <f t="shared" si="248"/>
        <v>0.9768</v>
      </c>
      <c r="I147" s="559">
        <f t="shared" si="249"/>
        <v>10</v>
      </c>
      <c r="J147" s="454">
        <f t="shared" si="250"/>
        <v>24.25</v>
      </c>
      <c r="K147" s="454">
        <f t="shared" si="251"/>
        <v>34.25</v>
      </c>
      <c r="L147" s="454"/>
      <c r="M147" s="223">
        <f t="shared" si="252"/>
        <v>0.70802919708029199</v>
      </c>
      <c r="N147" s="178">
        <f t="shared" si="253"/>
        <v>4.8765510948905106</v>
      </c>
      <c r="O147" s="178">
        <f t="shared" si="244"/>
        <v>0.9768</v>
      </c>
      <c r="P147" s="223">
        <f t="shared" si="254"/>
        <v>0.20318962895377127</v>
      </c>
      <c r="Q147" s="223">
        <f t="shared" si="255"/>
        <v>24</v>
      </c>
      <c r="R147" s="223"/>
      <c r="S147" s="178">
        <f t="shared" si="256"/>
        <v>159.24171902104516</v>
      </c>
      <c r="T147" s="178">
        <f t="shared" si="257"/>
        <v>24</v>
      </c>
      <c r="U147" s="223">
        <f t="shared" si="258"/>
        <v>0.2904429734129137</v>
      </c>
      <c r="V147" s="223">
        <f t="shared" si="259"/>
        <v>1.3650819750406942</v>
      </c>
      <c r="W147" s="223">
        <f t="shared" si="260"/>
        <v>0.56292040207863681</v>
      </c>
      <c r="X147" s="203">
        <f t="shared" si="261"/>
        <v>350</v>
      </c>
      <c r="Y147" s="454">
        <f t="shared" si="203"/>
        <v>350</v>
      </c>
      <c r="AA147" s="223">
        <f t="shared" si="262"/>
        <v>0.43041288576309544</v>
      </c>
      <c r="AB147" s="179">
        <f t="shared" si="263"/>
        <v>0.83420229405630864</v>
      </c>
      <c r="AC147" s="179">
        <f t="shared" si="264"/>
        <v>6.2833997921619769E-2</v>
      </c>
      <c r="AD147" s="179"/>
      <c r="AE147" s="179">
        <f t="shared" si="265"/>
        <v>0.56206185567010303</v>
      </c>
      <c r="AF147" s="563">
        <f t="shared" si="266"/>
        <v>499.39282009765486</v>
      </c>
      <c r="AG147" s="546">
        <f t="shared" si="267"/>
        <v>2.8524639175257726E-2</v>
      </c>
      <c r="AI147" s="179">
        <f t="shared" si="268"/>
        <v>0.34640577432589398</v>
      </c>
      <c r="AJ147" s="179">
        <f t="shared" si="269"/>
        <v>0.34640577432589398</v>
      </c>
      <c r="AK147" s="179">
        <f t="shared" si="270"/>
        <v>1.2417820550562177</v>
      </c>
      <c r="AM147" s="563">
        <f t="shared" si="271"/>
        <v>40.700000000000003</v>
      </c>
      <c r="AN147" s="472">
        <f t="shared" si="272"/>
        <v>350</v>
      </c>
      <c r="AP147" s="472">
        <f t="shared" si="273"/>
        <v>40.700000000000003</v>
      </c>
      <c r="AQ147" s="472">
        <f t="shared" si="274"/>
        <v>350</v>
      </c>
      <c r="AS147" s="6">
        <f t="shared" si="245"/>
        <v>2.8571428571428572</v>
      </c>
      <c r="AT147" s="6">
        <f t="shared" si="275"/>
        <v>1.6281071393317013</v>
      </c>
      <c r="AU147" s="6">
        <f t="shared" si="218"/>
        <v>1.2290357178111559</v>
      </c>
      <c r="AV147" s="6"/>
      <c r="AW147" s="179">
        <f t="shared" si="219"/>
        <v>0.56983749876609546</v>
      </c>
      <c r="AX147" s="179">
        <f t="shared" si="241"/>
        <v>0.98697499999999994</v>
      </c>
      <c r="AY147" s="179">
        <f t="shared" si="242"/>
        <v>7.4505387162947009E-2</v>
      </c>
      <c r="AZ147" s="179">
        <f t="shared" si="246"/>
        <v>13.247028672456077</v>
      </c>
      <c r="BD147" s="179">
        <f t="shared" si="247"/>
        <v>0.15097325129865424</v>
      </c>
      <c r="BE147" s="179">
        <f t="shared" si="243"/>
        <v>0.13117188807472224</v>
      </c>
      <c r="BG147" s="546">
        <f t="shared" si="220"/>
        <v>7.9775229126903113E-3</v>
      </c>
      <c r="BH147" s="546">
        <f t="shared" si="221"/>
        <v>3.1144044147987403E-2</v>
      </c>
      <c r="BI147" s="546">
        <f t="shared" si="222"/>
        <v>4.3749999999999995E-3</v>
      </c>
      <c r="BJ147" s="546">
        <f t="shared" si="223"/>
        <v>2.0528593750000001E-2</v>
      </c>
      <c r="BK147">
        <f t="shared" si="224"/>
        <v>2.8999999999999998E-3</v>
      </c>
      <c r="BM147" s="472">
        <f t="shared" si="225"/>
        <v>66.92516081067771</v>
      </c>
      <c r="BN147" s="546">
        <f t="shared" si="226"/>
        <v>1.221E-2</v>
      </c>
      <c r="BQ147" s="472">
        <f t="shared" si="227"/>
        <v>12.21</v>
      </c>
      <c r="BR147" s="546">
        <f t="shared" si="228"/>
        <v>4.5585845215373212E-3</v>
      </c>
      <c r="BS147" s="546">
        <f t="shared" si="229"/>
        <v>3.4412128442174923E-3</v>
      </c>
      <c r="BT147" s="546">
        <f t="shared" si="230"/>
        <v>8.0928766709603885E-3</v>
      </c>
      <c r="BU147" s="546"/>
      <c r="BV147" s="546">
        <f t="shared" si="231"/>
        <v>7.7698031914893613E-3</v>
      </c>
      <c r="BW147" s="472">
        <f t="shared" si="232"/>
        <v>23.862477228204561</v>
      </c>
      <c r="BX147" s="179">
        <f t="shared" si="233"/>
        <v>0.10299763803888226</v>
      </c>
      <c r="BY147" s="6">
        <f t="shared" si="234"/>
        <v>0.9768</v>
      </c>
      <c r="BZ147" s="179">
        <f t="shared" si="235"/>
        <v>0.90461394393680505</v>
      </c>
      <c r="CA147" s="6">
        <f t="shared" si="236"/>
        <v>90.461394393680507</v>
      </c>
      <c r="CD147" s="581">
        <f t="shared" si="276"/>
        <v>-50</v>
      </c>
      <c r="CE147">
        <f t="shared" si="277"/>
        <v>-50</v>
      </c>
    </row>
    <row r="148" spans="5:83" x14ac:dyDescent="0.2">
      <c r="E148" s="176">
        <v>38</v>
      </c>
      <c r="F148" s="223">
        <f t="shared" si="278"/>
        <v>4.1800000000000004E-2</v>
      </c>
      <c r="G148" s="223"/>
      <c r="H148" s="223">
        <f t="shared" si="248"/>
        <v>1.0032000000000001</v>
      </c>
      <c r="I148" s="559">
        <f t="shared" si="249"/>
        <v>10</v>
      </c>
      <c r="J148" s="454">
        <f t="shared" si="250"/>
        <v>24.25</v>
      </c>
      <c r="K148" s="454">
        <f t="shared" si="251"/>
        <v>34.25</v>
      </c>
      <c r="L148" s="454"/>
      <c r="M148" s="223">
        <f t="shared" si="252"/>
        <v>0.70802919708029199</v>
      </c>
      <c r="N148" s="178">
        <f t="shared" si="253"/>
        <v>4.8765510948905106</v>
      </c>
      <c r="O148" s="178">
        <f t="shared" si="244"/>
        <v>1.0032000000000001</v>
      </c>
      <c r="P148" s="223">
        <f t="shared" si="254"/>
        <v>0.20318962895377127</v>
      </c>
      <c r="Q148" s="223">
        <f t="shared" si="255"/>
        <v>24</v>
      </c>
      <c r="R148" s="223"/>
      <c r="S148" s="178">
        <f t="shared" si="256"/>
        <v>154.78885226309907</v>
      </c>
      <c r="T148" s="178">
        <f t="shared" si="257"/>
        <v>24</v>
      </c>
      <c r="U148" s="223">
        <f t="shared" si="258"/>
        <v>0.29829278350515465</v>
      </c>
      <c r="V148" s="223">
        <f t="shared" si="259"/>
        <v>1.4019760824742269</v>
      </c>
      <c r="W148" s="223">
        <f t="shared" si="260"/>
        <v>0.57813446699968107</v>
      </c>
      <c r="X148" s="203">
        <f t="shared" si="261"/>
        <v>350</v>
      </c>
      <c r="Y148" s="454">
        <f t="shared" si="203"/>
        <v>350</v>
      </c>
      <c r="AA148" s="223">
        <f t="shared" si="262"/>
        <v>0.43041288576309544</v>
      </c>
      <c r="AB148" s="179">
        <f t="shared" si="263"/>
        <v>0.83420229405630864</v>
      </c>
      <c r="AC148" s="179">
        <f t="shared" si="264"/>
        <v>6.2833997921619769E-2</v>
      </c>
      <c r="AD148" s="179"/>
      <c r="AE148" s="179">
        <f t="shared" si="265"/>
        <v>0.56206185567010303</v>
      </c>
      <c r="AF148" s="563">
        <f t="shared" si="266"/>
        <v>512.88992334353748</v>
      </c>
      <c r="AG148" s="546">
        <f t="shared" si="267"/>
        <v>2.8524639175257726E-2</v>
      </c>
      <c r="AI148" s="179">
        <f t="shared" si="268"/>
        <v>0.35105572432385596</v>
      </c>
      <c r="AJ148" s="179">
        <f t="shared" si="269"/>
        <v>0.35105572432385596</v>
      </c>
      <c r="AK148" s="179">
        <f t="shared" si="270"/>
        <v>1.2452264624621154</v>
      </c>
      <c r="AM148" s="563">
        <f t="shared" si="271"/>
        <v>41.800000000000004</v>
      </c>
      <c r="AN148" s="472">
        <f t="shared" si="272"/>
        <v>350</v>
      </c>
      <c r="AP148" s="472">
        <f t="shared" si="273"/>
        <v>41.800000000000004</v>
      </c>
      <c r="AQ148" s="472">
        <f t="shared" si="274"/>
        <v>350</v>
      </c>
      <c r="AS148" s="6">
        <f t="shared" si="245"/>
        <v>2.8571428571428572</v>
      </c>
      <c r="AT148" s="6">
        <f t="shared" si="275"/>
        <v>1.6499619043221228</v>
      </c>
      <c r="AU148" s="6">
        <f t="shared" si="218"/>
        <v>1.2071809528207345</v>
      </c>
      <c r="AV148" s="6"/>
      <c r="AW148" s="179">
        <f t="shared" si="219"/>
        <v>0.57748666651274294</v>
      </c>
      <c r="AX148" s="179">
        <f t="shared" si="241"/>
        <v>1.0136500000000002</v>
      </c>
      <c r="AY148" s="179">
        <f t="shared" si="242"/>
        <v>7.4162862161927967E-2</v>
      </c>
      <c r="AZ148" s="179">
        <f t="shared" si="246"/>
        <v>13.667892128903901</v>
      </c>
      <c r="BD148" s="179">
        <f t="shared" si="247"/>
        <v>0.15402329584857752</v>
      </c>
      <c r="BE148" s="179">
        <f t="shared" si="243"/>
        <v>0.13174545480884953</v>
      </c>
      <c r="BG148" s="546">
        <f t="shared" si="220"/>
        <v>8.3031114824204527E-3</v>
      </c>
      <c r="BH148" s="546">
        <f t="shared" si="221"/>
        <v>3.1562103714991671E-2</v>
      </c>
      <c r="BI148" s="546">
        <f t="shared" si="222"/>
        <v>4.3749999999999995E-3</v>
      </c>
      <c r="BJ148" s="546">
        <f t="shared" si="223"/>
        <v>2.0528593750000001E-2</v>
      </c>
      <c r="BK148">
        <f t="shared" si="224"/>
        <v>2.8999999999999998E-3</v>
      </c>
      <c r="BM148" s="472">
        <f t="shared" si="225"/>
        <v>67.668808947412117</v>
      </c>
      <c r="BN148" s="546">
        <f t="shared" si="226"/>
        <v>1.2540000000000001E-2</v>
      </c>
      <c r="BQ148" s="472">
        <f t="shared" si="227"/>
        <v>12.540000000000001</v>
      </c>
      <c r="BR148" s="546">
        <f t="shared" si="228"/>
        <v>4.7446351328116875E-3</v>
      </c>
      <c r="BS148" s="546">
        <f t="shared" si="229"/>
        <v>3.4713729725581229E-3</v>
      </c>
      <c r="BT148" s="546">
        <f t="shared" si="230"/>
        <v>8.3672021739275744E-3</v>
      </c>
      <c r="BU148" s="546"/>
      <c r="BV148" s="546">
        <f t="shared" si="231"/>
        <v>7.9797978723404276E-3</v>
      </c>
      <c r="BW148" s="472">
        <f t="shared" si="232"/>
        <v>24.56300815163781</v>
      </c>
      <c r="BX148" s="179">
        <f t="shared" si="233"/>
        <v>0.10477181709904992</v>
      </c>
      <c r="BY148" s="6">
        <f t="shared" si="234"/>
        <v>1.0032000000000001</v>
      </c>
      <c r="BZ148" s="179">
        <f t="shared" si="235"/>
        <v>0.90543819302789763</v>
      </c>
      <c r="CA148" s="6">
        <f t="shared" si="236"/>
        <v>90.543819302789757</v>
      </c>
      <c r="CD148" s="581">
        <f t="shared" si="276"/>
        <v>-50</v>
      </c>
      <c r="CE148">
        <f t="shared" si="277"/>
        <v>-50</v>
      </c>
    </row>
    <row r="149" spans="5:83" x14ac:dyDescent="0.2">
      <c r="E149" s="176">
        <v>39</v>
      </c>
      <c r="F149" s="223">
        <f t="shared" si="278"/>
        <v>4.2900000000000001E-2</v>
      </c>
      <c r="G149" s="223"/>
      <c r="H149" s="223">
        <f t="shared" si="248"/>
        <v>1.0296000000000001</v>
      </c>
      <c r="I149" s="559">
        <f t="shared" si="249"/>
        <v>10</v>
      </c>
      <c r="J149" s="454">
        <f t="shared" si="250"/>
        <v>24.25</v>
      </c>
      <c r="K149" s="454">
        <f t="shared" si="251"/>
        <v>34.25</v>
      </c>
      <c r="L149" s="454"/>
      <c r="M149" s="223">
        <f t="shared" si="252"/>
        <v>0.70802919708029199</v>
      </c>
      <c r="N149" s="178">
        <f t="shared" si="253"/>
        <v>4.8765510948905106</v>
      </c>
      <c r="O149" s="178">
        <f t="shared" si="244"/>
        <v>1.0296000000000001</v>
      </c>
      <c r="P149" s="223">
        <f t="shared" si="254"/>
        <v>0.20318962895377127</v>
      </c>
      <c r="Q149" s="223">
        <f t="shared" si="255"/>
        <v>24</v>
      </c>
      <c r="R149" s="223"/>
      <c r="S149" s="178">
        <f t="shared" si="256"/>
        <v>150.56436221835742</v>
      </c>
      <c r="T149" s="178">
        <f t="shared" si="257"/>
        <v>24</v>
      </c>
      <c r="U149" s="223">
        <f t="shared" si="258"/>
        <v>0.30614259359739554</v>
      </c>
      <c r="V149" s="223">
        <f t="shared" si="259"/>
        <v>1.4388701899077589</v>
      </c>
      <c r="W149" s="223">
        <f t="shared" si="260"/>
        <v>0.59334853192072545</v>
      </c>
      <c r="X149" s="203">
        <f t="shared" si="261"/>
        <v>350</v>
      </c>
      <c r="Y149" s="454">
        <f t="shared" si="203"/>
        <v>350</v>
      </c>
      <c r="AA149" s="223">
        <f t="shared" si="262"/>
        <v>0.43041288576309544</v>
      </c>
      <c r="AB149" s="179">
        <f t="shared" si="263"/>
        <v>0.83420229405630864</v>
      </c>
      <c r="AC149" s="179">
        <f t="shared" si="264"/>
        <v>6.2833997921619769E-2</v>
      </c>
      <c r="AD149" s="179"/>
      <c r="AE149" s="179">
        <f t="shared" si="265"/>
        <v>0.56206185567010303</v>
      </c>
      <c r="AF149" s="563">
        <f t="shared" si="266"/>
        <v>526.38702658942009</v>
      </c>
      <c r="AG149" s="546">
        <f t="shared" si="267"/>
        <v>2.8524639175257726E-2</v>
      </c>
      <c r="AI149" s="179">
        <f t="shared" si="268"/>
        <v>0.35564488281820117</v>
      </c>
      <c r="AJ149" s="179">
        <f t="shared" si="269"/>
        <v>0.35564488281820117</v>
      </c>
      <c r="AK149" s="179">
        <f t="shared" si="270"/>
        <v>1.2486258391245935</v>
      </c>
      <c r="AM149" s="563">
        <f t="shared" si="271"/>
        <v>42.9</v>
      </c>
      <c r="AN149" s="472">
        <f t="shared" si="272"/>
        <v>350</v>
      </c>
      <c r="AP149" s="472">
        <f t="shared" si="273"/>
        <v>42.9</v>
      </c>
      <c r="AQ149" s="472">
        <f t="shared" si="274"/>
        <v>350</v>
      </c>
      <c r="AS149" s="6">
        <f t="shared" si="245"/>
        <v>2.8571428571428572</v>
      </c>
      <c r="AT149" s="6">
        <f t="shared" si="275"/>
        <v>1.6715309492455455</v>
      </c>
      <c r="AU149" s="6">
        <f t="shared" si="218"/>
        <v>1.1856119078973117</v>
      </c>
      <c r="AV149" s="6"/>
      <c r="AW149" s="179">
        <f t="shared" si="219"/>
        <v>0.58503583223594091</v>
      </c>
      <c r="AX149" s="179">
        <f t="shared" si="241"/>
        <v>1.0403250000000002</v>
      </c>
      <c r="AY149" s="179">
        <f t="shared" si="242"/>
        <v>7.3789941409100585E-2</v>
      </c>
      <c r="AZ149" s="179">
        <f t="shared" si="246"/>
        <v>14.098466269708894</v>
      </c>
      <c r="BD149" s="179">
        <f t="shared" si="247"/>
        <v>0.15705333758903803</v>
      </c>
      <c r="BE149" s="179">
        <f t="shared" si="243"/>
        <v>0.13226996400191418</v>
      </c>
      <c r="BG149" s="546">
        <f t="shared" si="220"/>
        <v>8.6330127967497207E-3</v>
      </c>
      <c r="BH149" s="546">
        <f t="shared" si="221"/>
        <v>3.1974697745873894E-2</v>
      </c>
      <c r="BI149" s="546">
        <f t="shared" si="222"/>
        <v>4.3749999999999995E-3</v>
      </c>
      <c r="BJ149" s="546">
        <f t="shared" si="223"/>
        <v>2.0528593750000001E-2</v>
      </c>
      <c r="BK149">
        <f t="shared" si="224"/>
        <v>2.8999999999999998E-3</v>
      </c>
      <c r="BM149" s="472">
        <f t="shared" si="225"/>
        <v>68.411304292623612</v>
      </c>
      <c r="BN149" s="546">
        <f t="shared" si="226"/>
        <v>1.2869999999999999E-2</v>
      </c>
      <c r="BQ149" s="472">
        <f t="shared" si="227"/>
        <v>12.87</v>
      </c>
      <c r="BR149" s="546">
        <f t="shared" si="228"/>
        <v>4.9331501695712692E-3</v>
      </c>
      <c r="BS149" s="546">
        <f t="shared" si="229"/>
        <v>3.4990686754135347E-3</v>
      </c>
      <c r="BT149" s="546">
        <f t="shared" si="230"/>
        <v>8.64333858325168E-3</v>
      </c>
      <c r="BU149" s="546"/>
      <c r="BV149" s="546">
        <f t="shared" si="231"/>
        <v>8.1897925531914904E-3</v>
      </c>
      <c r="BW149" s="472">
        <f t="shared" si="232"/>
        <v>25.265349981427978</v>
      </c>
      <c r="BX149" s="179">
        <f t="shared" si="233"/>
        <v>0.10654665427405161</v>
      </c>
      <c r="BY149" s="6">
        <f t="shared" si="234"/>
        <v>1.0296000000000001</v>
      </c>
      <c r="BZ149" s="179">
        <f t="shared" si="235"/>
        <v>0.90622103768625684</v>
      </c>
      <c r="CA149" s="6">
        <f t="shared" si="236"/>
        <v>90.622103768625678</v>
      </c>
      <c r="CD149" s="581">
        <f t="shared" si="276"/>
        <v>-50</v>
      </c>
      <c r="CE149">
        <f t="shared" si="277"/>
        <v>-50</v>
      </c>
    </row>
    <row r="150" spans="5:83" x14ac:dyDescent="0.2">
      <c r="E150" s="176">
        <v>40</v>
      </c>
      <c r="F150" s="223">
        <f t="shared" si="278"/>
        <v>4.4000000000000004E-2</v>
      </c>
      <c r="G150" s="223"/>
      <c r="H150" s="223">
        <f t="shared" si="248"/>
        <v>1.056</v>
      </c>
      <c r="I150" s="559">
        <f t="shared" si="249"/>
        <v>10</v>
      </c>
      <c r="J150" s="454">
        <f t="shared" si="250"/>
        <v>24.25</v>
      </c>
      <c r="K150" s="454">
        <f t="shared" si="251"/>
        <v>34.25</v>
      </c>
      <c r="L150" s="454"/>
      <c r="M150" s="223">
        <f t="shared" si="252"/>
        <v>0.70802919708029199</v>
      </c>
      <c r="N150" s="178">
        <f t="shared" si="253"/>
        <v>4.8765510948905106</v>
      </c>
      <c r="O150" s="178">
        <f t="shared" si="244"/>
        <v>1.056</v>
      </c>
      <c r="P150" s="223">
        <f t="shared" si="254"/>
        <v>0.20318962895377127</v>
      </c>
      <c r="Q150" s="223">
        <f t="shared" si="255"/>
        <v>24</v>
      </c>
      <c r="R150" s="223"/>
      <c r="S150" s="178">
        <f t="shared" si="256"/>
        <v>146.55112075182777</v>
      </c>
      <c r="T150" s="178">
        <f t="shared" si="257"/>
        <v>24</v>
      </c>
      <c r="U150" s="223">
        <f t="shared" si="258"/>
        <v>0.31399240368963649</v>
      </c>
      <c r="V150" s="223">
        <f t="shared" si="259"/>
        <v>1.4757642973412914</v>
      </c>
      <c r="W150" s="223">
        <f t="shared" si="260"/>
        <v>0.60856259684176972</v>
      </c>
      <c r="X150" s="203">
        <f t="shared" si="261"/>
        <v>350</v>
      </c>
      <c r="Y150" s="454">
        <f t="shared" si="203"/>
        <v>350</v>
      </c>
      <c r="AA150" s="223">
        <f t="shared" si="262"/>
        <v>0.43041288576309544</v>
      </c>
      <c r="AB150" s="179">
        <f t="shared" si="263"/>
        <v>0.83420229405630864</v>
      </c>
      <c r="AC150" s="179">
        <f t="shared" si="264"/>
        <v>6.2833997921619769E-2</v>
      </c>
      <c r="AD150" s="179"/>
      <c r="AE150" s="179">
        <f t="shared" si="265"/>
        <v>0.56206185567010303</v>
      </c>
      <c r="AF150" s="563">
        <f t="shared" si="266"/>
        <v>539.88412983530259</v>
      </c>
      <c r="AG150" s="546">
        <f t="shared" si="267"/>
        <v>2.8524639175257726E-2</v>
      </c>
      <c r="AI150" s="179">
        <f t="shared" si="268"/>
        <v>0.36017557353184987</v>
      </c>
      <c r="AJ150" s="179">
        <f t="shared" si="269"/>
        <v>0.36017557353184987</v>
      </c>
      <c r="AK150" s="179">
        <f t="shared" si="270"/>
        <v>1.2519819063198887</v>
      </c>
      <c r="AM150" s="563">
        <f t="shared" si="271"/>
        <v>44.000000000000007</v>
      </c>
      <c r="AN150" s="472">
        <f t="shared" si="272"/>
        <v>350</v>
      </c>
      <c r="AP150" s="472">
        <f t="shared" si="273"/>
        <v>44.000000000000007</v>
      </c>
      <c r="AQ150" s="472">
        <f t="shared" si="274"/>
        <v>350</v>
      </c>
      <c r="AS150" s="6">
        <f t="shared" si="245"/>
        <v>2.8571428571428572</v>
      </c>
      <c r="AT150" s="6">
        <f t="shared" si="275"/>
        <v>1.6928251955996945</v>
      </c>
      <c r="AU150" s="6">
        <f t="shared" si="218"/>
        <v>1.1643176615431627</v>
      </c>
      <c r="AV150" s="6"/>
      <c r="AW150" s="179">
        <f t="shared" si="219"/>
        <v>0.5924888184598931</v>
      </c>
      <c r="AX150" s="179">
        <f t="shared" si="241"/>
        <v>1.0670000000000002</v>
      </c>
      <c r="AY150" s="179">
        <f t="shared" si="242"/>
        <v>7.3387786765924903E-2</v>
      </c>
      <c r="AZ150" s="179">
        <f t="shared" si="246"/>
        <v>14.539203960507294</v>
      </c>
      <c r="BD150" s="179">
        <f t="shared" si="247"/>
        <v>0.16006401572672604</v>
      </c>
      <c r="BE150" s="179">
        <f t="shared" si="243"/>
        <v>0.13274659616138337</v>
      </c>
      <c r="BG150" s="546">
        <f t="shared" si="220"/>
        <v>8.9671711956979608E-3</v>
      </c>
      <c r="BH150" s="546">
        <f t="shared" si="221"/>
        <v>3.2382035157847877E-2</v>
      </c>
      <c r="BI150" s="546">
        <f t="shared" si="222"/>
        <v>4.3749999999999995E-3</v>
      </c>
      <c r="BJ150" s="546">
        <f t="shared" si="223"/>
        <v>2.0528593750000001E-2</v>
      </c>
      <c r="BK150">
        <f t="shared" si="224"/>
        <v>2.8999999999999998E-3</v>
      </c>
      <c r="BM150" s="472">
        <f t="shared" si="225"/>
        <v>69.152800103545843</v>
      </c>
      <c r="BN150" s="546">
        <f t="shared" si="226"/>
        <v>1.3200000000000002E-2</v>
      </c>
      <c r="BQ150" s="472">
        <f t="shared" si="227"/>
        <v>13.200000000000001</v>
      </c>
      <c r="BR150" s="546">
        <f t="shared" si="228"/>
        <v>5.1240978261131208E-3</v>
      </c>
      <c r="BS150" s="546">
        <f t="shared" si="229"/>
        <v>3.5243317584866805E-3</v>
      </c>
      <c r="BT150" s="546">
        <f t="shared" si="230"/>
        <v>8.9212509541688224E-3</v>
      </c>
      <c r="BU150" s="546"/>
      <c r="BV150" s="546">
        <f t="shared" si="231"/>
        <v>8.3997872340425567E-3</v>
      </c>
      <c r="BW150" s="472">
        <f t="shared" si="232"/>
        <v>25.969467772811178</v>
      </c>
      <c r="BX150" s="179">
        <f t="shared" si="233"/>
        <v>0.10832226787635701</v>
      </c>
      <c r="BY150" s="6">
        <f t="shared" si="234"/>
        <v>1.056</v>
      </c>
      <c r="BZ150" s="179">
        <f t="shared" si="235"/>
        <v>0.90696539019739852</v>
      </c>
      <c r="CA150" s="6">
        <f t="shared" si="236"/>
        <v>90.696539019739859</v>
      </c>
      <c r="CD150" s="581">
        <f t="shared" si="276"/>
        <v>-50</v>
      </c>
      <c r="CE150">
        <f t="shared" si="277"/>
        <v>-50</v>
      </c>
    </row>
    <row r="151" spans="5:83" x14ac:dyDescent="0.2">
      <c r="E151" s="176">
        <v>41</v>
      </c>
      <c r="F151" s="223">
        <f t="shared" si="278"/>
        <v>4.5099999999999994E-2</v>
      </c>
      <c r="G151" s="223"/>
      <c r="H151" s="223">
        <f t="shared" si="248"/>
        <v>1.0823999999999998</v>
      </c>
      <c r="I151" s="559">
        <f t="shared" si="249"/>
        <v>10</v>
      </c>
      <c r="J151" s="454">
        <f t="shared" si="250"/>
        <v>24.25</v>
      </c>
      <c r="K151" s="454">
        <f t="shared" si="251"/>
        <v>34.25</v>
      </c>
      <c r="L151" s="454"/>
      <c r="M151" s="223">
        <f t="shared" si="252"/>
        <v>0.70802919708029199</v>
      </c>
      <c r="N151" s="178">
        <f t="shared" si="253"/>
        <v>4.8765510948905106</v>
      </c>
      <c r="O151" s="178">
        <f t="shared" si="244"/>
        <v>1.0823999999999998</v>
      </c>
      <c r="P151" s="223">
        <f t="shared" si="254"/>
        <v>0.20318962895377127</v>
      </c>
      <c r="Q151" s="223">
        <f t="shared" si="255"/>
        <v>24</v>
      </c>
      <c r="R151" s="223"/>
      <c r="S151" s="178">
        <f t="shared" si="256"/>
        <v>142.73367076681853</v>
      </c>
      <c r="T151" s="178">
        <f t="shared" si="257"/>
        <v>24</v>
      </c>
      <c r="U151" s="223">
        <f t="shared" si="258"/>
        <v>0.32184221378187733</v>
      </c>
      <c r="V151" s="223">
        <f t="shared" si="259"/>
        <v>1.5126584047748233</v>
      </c>
      <c r="W151" s="223">
        <f t="shared" si="260"/>
        <v>0.62377666176281377</v>
      </c>
      <c r="X151" s="203">
        <f t="shared" si="261"/>
        <v>350</v>
      </c>
      <c r="Y151" s="454">
        <f t="shared" si="203"/>
        <v>350</v>
      </c>
      <c r="AA151" s="223">
        <f t="shared" si="262"/>
        <v>0.43041288576309544</v>
      </c>
      <c r="AB151" s="179">
        <f t="shared" si="263"/>
        <v>0.83420229405630864</v>
      </c>
      <c r="AC151" s="179">
        <f t="shared" si="264"/>
        <v>6.2833997921619769E-2</v>
      </c>
      <c r="AD151" s="179"/>
      <c r="AE151" s="179">
        <f t="shared" si="265"/>
        <v>0.56206185567010303</v>
      </c>
      <c r="AF151" s="563">
        <f t="shared" si="266"/>
        <v>553.38123308118497</v>
      </c>
      <c r="AG151" s="546">
        <f t="shared" si="267"/>
        <v>2.8524639175257726E-2</v>
      </c>
      <c r="AI151" s="179">
        <f t="shared" si="268"/>
        <v>0.36464997581683983</v>
      </c>
      <c r="AJ151" s="179">
        <f t="shared" si="269"/>
        <v>0.36464997581683983</v>
      </c>
      <c r="AK151" s="179">
        <f t="shared" si="270"/>
        <v>1.2552962783828443</v>
      </c>
      <c r="AM151" s="563">
        <f t="shared" si="271"/>
        <v>45.099999999999994</v>
      </c>
      <c r="AN151" s="472">
        <f t="shared" si="272"/>
        <v>350</v>
      </c>
      <c r="AP151" s="472">
        <f t="shared" si="273"/>
        <v>45.099999999999994</v>
      </c>
      <c r="AQ151" s="472">
        <f t="shared" si="274"/>
        <v>350</v>
      </c>
      <c r="AS151" s="6">
        <f t="shared" si="245"/>
        <v>2.8571428571428572</v>
      </c>
      <c r="AT151" s="6">
        <f t="shared" si="275"/>
        <v>1.7138548863391472</v>
      </c>
      <c r="AU151" s="6">
        <f t="shared" si="218"/>
        <v>1.14328797080371</v>
      </c>
      <c r="AV151" s="6"/>
      <c r="AW151" s="179">
        <f t="shared" si="219"/>
        <v>0.59984921021870152</v>
      </c>
      <c r="AX151" s="179">
        <f t="shared" si="241"/>
        <v>1.093675</v>
      </c>
      <c r="AY151" s="179">
        <f t="shared" si="242"/>
        <v>7.2957487908419924E-2</v>
      </c>
      <c r="AZ151" s="179">
        <f t="shared" si="246"/>
        <v>14.990579190073516</v>
      </c>
      <c r="BD151" s="179">
        <f t="shared" si="247"/>
        <v>0.16305593361409906</v>
      </c>
      <c r="BE151" s="179">
        <f t="shared" si="243"/>
        <v>0.13317643986196837</v>
      </c>
      <c r="BG151" s="546">
        <f t="shared" si="220"/>
        <v>9.3055331203679183E-3</v>
      </c>
      <c r="BH151" s="546">
        <f t="shared" si="221"/>
        <v>3.2784311888282749E-2</v>
      </c>
      <c r="BI151" s="546">
        <f t="shared" si="222"/>
        <v>4.3749999999999995E-3</v>
      </c>
      <c r="BJ151" s="546">
        <f t="shared" si="223"/>
        <v>2.0528593750000001E-2</v>
      </c>
      <c r="BK151">
        <f t="shared" si="224"/>
        <v>2.8999999999999998E-3</v>
      </c>
      <c r="BM151" s="472">
        <f t="shared" si="225"/>
        <v>69.89343875865066</v>
      </c>
      <c r="BN151" s="546">
        <f t="shared" si="226"/>
        <v>1.3529999999999999E-2</v>
      </c>
      <c r="BQ151" s="472">
        <f t="shared" si="227"/>
        <v>13.53</v>
      </c>
      <c r="BR151" s="546">
        <f t="shared" si="228"/>
        <v>5.3174474973530965E-3</v>
      </c>
      <c r="BS151" s="546">
        <f t="shared" si="229"/>
        <v>3.5471928268616957E-3</v>
      </c>
      <c r="BT151" s="546">
        <f t="shared" si="230"/>
        <v>9.2009058760500941E-3</v>
      </c>
      <c r="BU151" s="546"/>
      <c r="BV151" s="546">
        <f t="shared" si="231"/>
        <v>8.6097819148936161E-3</v>
      </c>
      <c r="BW151" s="472">
        <f t="shared" si="232"/>
        <v>26.675328115158504</v>
      </c>
      <c r="BX151" s="179">
        <f t="shared" si="233"/>
        <v>0.11009876687380915</v>
      </c>
      <c r="BY151" s="6">
        <f t="shared" si="234"/>
        <v>1.0823999999999998</v>
      </c>
      <c r="BZ151" s="179">
        <f t="shared" si="235"/>
        <v>0.90767389457144831</v>
      </c>
      <c r="CA151" s="6">
        <f t="shared" si="236"/>
        <v>90.76738945714483</v>
      </c>
      <c r="CD151" s="581">
        <f t="shared" si="276"/>
        <v>-50</v>
      </c>
      <c r="CE151">
        <f t="shared" si="277"/>
        <v>-50</v>
      </c>
    </row>
    <row r="152" spans="5:83" x14ac:dyDescent="0.2">
      <c r="E152" s="176">
        <v>42</v>
      </c>
      <c r="F152" s="223">
        <f t="shared" si="278"/>
        <v>4.6199999999999998E-2</v>
      </c>
      <c r="G152" s="223"/>
      <c r="H152" s="223">
        <f t="shared" si="248"/>
        <v>1.1088</v>
      </c>
      <c r="I152" s="559">
        <f t="shared" si="249"/>
        <v>10</v>
      </c>
      <c r="J152" s="454">
        <f t="shared" si="250"/>
        <v>24.25</v>
      </c>
      <c r="K152" s="454">
        <f t="shared" si="251"/>
        <v>34.25</v>
      </c>
      <c r="L152" s="454"/>
      <c r="M152" s="223">
        <f t="shared" si="252"/>
        <v>0.70802919708029199</v>
      </c>
      <c r="N152" s="178">
        <f t="shared" si="253"/>
        <v>4.8765510948905106</v>
      </c>
      <c r="O152" s="178">
        <f t="shared" si="244"/>
        <v>1.1088</v>
      </c>
      <c r="P152" s="223">
        <f t="shared" si="254"/>
        <v>0.20318962895377127</v>
      </c>
      <c r="Q152" s="223">
        <f t="shared" si="255"/>
        <v>24</v>
      </c>
      <c r="R152" s="223"/>
      <c r="S152" s="178">
        <f t="shared" si="256"/>
        <v>139.09802727181324</v>
      </c>
      <c r="T152" s="178">
        <f t="shared" si="257"/>
        <v>24</v>
      </c>
      <c r="U152" s="223">
        <f t="shared" si="258"/>
        <v>0.32969202387411828</v>
      </c>
      <c r="V152" s="223">
        <f t="shared" si="259"/>
        <v>1.549552512208356</v>
      </c>
      <c r="W152" s="223">
        <f t="shared" si="260"/>
        <v>0.63899072668385815</v>
      </c>
      <c r="X152" s="203">
        <f t="shared" si="261"/>
        <v>350</v>
      </c>
      <c r="Y152" s="454">
        <f t="shared" si="203"/>
        <v>350</v>
      </c>
      <c r="AA152" s="223">
        <f t="shared" si="262"/>
        <v>0.43041288576309544</v>
      </c>
      <c r="AB152" s="179">
        <f t="shared" si="263"/>
        <v>0.83420229405630864</v>
      </c>
      <c r="AC152" s="179">
        <f t="shared" si="264"/>
        <v>6.2833997921619769E-2</v>
      </c>
      <c r="AD152" s="179"/>
      <c r="AE152" s="179">
        <f t="shared" si="265"/>
        <v>0.56206185567010303</v>
      </c>
      <c r="AF152" s="563">
        <f t="shared" si="266"/>
        <v>566.8783363270677</v>
      </c>
      <c r="AG152" s="546">
        <f t="shared" si="267"/>
        <v>2.8524639175257726E-2</v>
      </c>
      <c r="AI152" s="179">
        <f t="shared" si="268"/>
        <v>0.36907013690821266</v>
      </c>
      <c r="AJ152" s="179">
        <f t="shared" si="269"/>
        <v>0.36907013690821266</v>
      </c>
      <c r="AK152" s="179">
        <f t="shared" si="270"/>
        <v>1.2585704717838613</v>
      </c>
      <c r="AM152" s="563">
        <f t="shared" si="271"/>
        <v>46.199999999999996</v>
      </c>
      <c r="AN152" s="472">
        <f t="shared" si="272"/>
        <v>350</v>
      </c>
      <c r="AP152" s="472">
        <f t="shared" si="273"/>
        <v>46.199999999999996</v>
      </c>
      <c r="AQ152" s="472">
        <f t="shared" si="274"/>
        <v>350</v>
      </c>
      <c r="AS152" s="6">
        <f t="shared" si="245"/>
        <v>2.8571428571428572</v>
      </c>
      <c r="AT152" s="6">
        <f t="shared" si="275"/>
        <v>1.7346296434685995</v>
      </c>
      <c r="AU152" s="6">
        <f t="shared" si="218"/>
        <v>1.1225132136742577</v>
      </c>
      <c r="AV152" s="6"/>
      <c r="AW152" s="179">
        <f t="shared" si="219"/>
        <v>0.60712037521400986</v>
      </c>
      <c r="AX152" s="179">
        <f t="shared" si="241"/>
        <v>1.1203500000000002</v>
      </c>
      <c r="AY152" s="179">
        <f t="shared" si="242"/>
        <v>7.2500068454106309E-2</v>
      </c>
      <c r="AZ152" s="179">
        <f t="shared" si="246"/>
        <v>15.453088857553279</v>
      </c>
      <c r="BD152" s="179">
        <f t="shared" si="247"/>
        <v>0.16602966158393029</v>
      </c>
      <c r="BE152" s="179">
        <f t="shared" si="243"/>
        <v>0.13356049862693137</v>
      </c>
      <c r="BG152" s="546">
        <f t="shared" si="220"/>
        <v>9.6480469839860458E-3</v>
      </c>
      <c r="BH152" s="546">
        <f t="shared" si="221"/>
        <v>3.318171199640399E-2</v>
      </c>
      <c r="BI152" s="546">
        <f t="shared" si="222"/>
        <v>4.3749999999999995E-3</v>
      </c>
      <c r="BJ152" s="546">
        <f t="shared" si="223"/>
        <v>2.0528593750000001E-2</v>
      </c>
      <c r="BK152">
        <f t="shared" si="224"/>
        <v>2.8999999999999998E-3</v>
      </c>
      <c r="BM152" s="472">
        <f t="shared" si="225"/>
        <v>70.63335273039003</v>
      </c>
      <c r="BN152" s="546">
        <f t="shared" si="226"/>
        <v>1.3859999999999999E-2</v>
      </c>
      <c r="BQ152" s="472">
        <f t="shared" si="227"/>
        <v>13.86</v>
      </c>
      <c r="BR152" s="546">
        <f t="shared" si="228"/>
        <v>5.5131697051348837E-3</v>
      </c>
      <c r="BS152" s="546">
        <f t="shared" si="229"/>
        <v>3.5676813586949076E-3</v>
      </c>
      <c r="BT152" s="546">
        <f t="shared" si="230"/>
        <v>9.4822713691426041E-3</v>
      </c>
      <c r="BU152" s="546"/>
      <c r="BV152" s="546">
        <f t="shared" si="231"/>
        <v>8.8197765957446824E-3</v>
      </c>
      <c r="BW152" s="472">
        <f t="shared" si="232"/>
        <v>27.38289902871708</v>
      </c>
      <c r="BX152" s="179">
        <f t="shared" si="233"/>
        <v>0.11187625175910711</v>
      </c>
      <c r="BY152" s="6">
        <f t="shared" si="234"/>
        <v>1.1088</v>
      </c>
      <c r="BZ152" s="179">
        <f t="shared" si="235"/>
        <v>0.90834895690164918</v>
      </c>
      <c r="CA152" s="6">
        <f t="shared" si="236"/>
        <v>90.834895690164913</v>
      </c>
      <c r="CD152" s="581">
        <f t="shared" si="276"/>
        <v>-50</v>
      </c>
      <c r="CE152">
        <f t="shared" si="277"/>
        <v>-50</v>
      </c>
    </row>
    <row r="153" spans="5:83" x14ac:dyDescent="0.2">
      <c r="E153" s="176">
        <v>43</v>
      </c>
      <c r="F153" s="223">
        <f t="shared" si="278"/>
        <v>4.7300000000000002E-2</v>
      </c>
      <c r="G153" s="223"/>
      <c r="H153" s="223">
        <f t="shared" si="248"/>
        <v>1.1352</v>
      </c>
      <c r="I153" s="559">
        <f t="shared" si="249"/>
        <v>10</v>
      </c>
      <c r="J153" s="454">
        <f t="shared" si="250"/>
        <v>24.25</v>
      </c>
      <c r="K153" s="454">
        <f t="shared" si="251"/>
        <v>34.25</v>
      </c>
      <c r="L153" s="454"/>
      <c r="M153" s="223">
        <f t="shared" si="252"/>
        <v>0.70802919708029199</v>
      </c>
      <c r="N153" s="178">
        <f t="shared" si="253"/>
        <v>4.8765510948905106</v>
      </c>
      <c r="O153" s="178">
        <f t="shared" si="244"/>
        <v>1.1352</v>
      </c>
      <c r="P153" s="223">
        <f t="shared" si="254"/>
        <v>0.20318962895377127</v>
      </c>
      <c r="Q153" s="223">
        <f t="shared" si="255"/>
        <v>24</v>
      </c>
      <c r="R153" s="223"/>
      <c r="S153" s="178">
        <f t="shared" si="256"/>
        <v>135.63150620545585</v>
      </c>
      <c r="T153" s="178">
        <f t="shared" si="257"/>
        <v>24</v>
      </c>
      <c r="U153" s="223">
        <f t="shared" si="258"/>
        <v>0.33754183396635917</v>
      </c>
      <c r="V153" s="223">
        <f t="shared" si="259"/>
        <v>1.586446619641888</v>
      </c>
      <c r="W153" s="223">
        <f t="shared" si="260"/>
        <v>0.6542047916049023</v>
      </c>
      <c r="X153" s="203">
        <f t="shared" si="261"/>
        <v>350</v>
      </c>
      <c r="Y153" s="454">
        <f t="shared" si="203"/>
        <v>350</v>
      </c>
      <c r="AA153" s="223">
        <f t="shared" si="262"/>
        <v>0.43041288576309544</v>
      </c>
      <c r="AB153" s="179">
        <f t="shared" si="263"/>
        <v>0.83420229405630864</v>
      </c>
      <c r="AC153" s="179">
        <f t="shared" si="264"/>
        <v>6.2833997921619769E-2</v>
      </c>
      <c r="AD153" s="179"/>
      <c r="AE153" s="179">
        <f t="shared" si="265"/>
        <v>0.56206185567010303</v>
      </c>
      <c r="AF153" s="563">
        <f t="shared" si="266"/>
        <v>580.3754395729502</v>
      </c>
      <c r="AG153" s="546">
        <f t="shared" si="267"/>
        <v>2.8524639175257726E-2</v>
      </c>
      <c r="AI153" s="179">
        <f t="shared" si="268"/>
        <v>0.37343798287221902</v>
      </c>
      <c r="AJ153" s="179">
        <f t="shared" si="269"/>
        <v>0.37343798287221902</v>
      </c>
      <c r="AK153" s="179">
        <f t="shared" si="270"/>
        <v>1.2618059132386807</v>
      </c>
      <c r="AM153" s="563">
        <f t="shared" si="271"/>
        <v>47.300000000000004</v>
      </c>
      <c r="AN153" s="472">
        <f t="shared" si="272"/>
        <v>350</v>
      </c>
      <c r="AP153" s="472">
        <f t="shared" si="273"/>
        <v>47.300000000000004</v>
      </c>
      <c r="AQ153" s="472">
        <f t="shared" si="274"/>
        <v>350</v>
      </c>
      <c r="AS153" s="6">
        <f t="shared" si="245"/>
        <v>2.8571428571428572</v>
      </c>
      <c r="AT153" s="6">
        <f t="shared" si="275"/>
        <v>1.7551585194994292</v>
      </c>
      <c r="AU153" s="6">
        <f t="shared" si="218"/>
        <v>1.101984337643428</v>
      </c>
      <c r="AV153" s="6"/>
      <c r="AW153" s="179">
        <f t="shared" si="219"/>
        <v>0.61430548182480027</v>
      </c>
      <c r="AX153" s="179">
        <f t="shared" si="241"/>
        <v>1.1470250000000002</v>
      </c>
      <c r="AY153" s="179">
        <f t="shared" si="242"/>
        <v>7.2016491436109498E-2</v>
      </c>
      <c r="AZ153" s="179">
        <f t="shared" si="246"/>
        <v>15.927254676348687</v>
      </c>
      <c r="BD153" s="179">
        <f t="shared" si="247"/>
        <v>0.16898573949774717</v>
      </c>
      <c r="BE153" s="179">
        <f t="shared" si="243"/>
        <v>0.1338996970258837</v>
      </c>
      <c r="BG153" s="546">
        <f t="shared" si="220"/>
        <v>9.9946630537601638E-3</v>
      </c>
      <c r="BH153" s="546">
        <f t="shared" si="221"/>
        <v>3.3574408647605435E-2</v>
      </c>
      <c r="BI153" s="546">
        <f t="shared" si="222"/>
        <v>4.3749999999999995E-3</v>
      </c>
      <c r="BJ153" s="546">
        <f t="shared" si="223"/>
        <v>2.0528593750000001E-2</v>
      </c>
      <c r="BK153">
        <f t="shared" si="224"/>
        <v>2.8999999999999998E-3</v>
      </c>
      <c r="BM153" s="472">
        <f t="shared" si="225"/>
        <v>71.372665451365606</v>
      </c>
      <c r="BN153" s="546">
        <f t="shared" si="226"/>
        <v>1.4189999999999999E-2</v>
      </c>
      <c r="BQ153" s="472">
        <f t="shared" si="227"/>
        <v>14.19</v>
      </c>
      <c r="BR153" s="546">
        <f t="shared" si="228"/>
        <v>5.7112360307200946E-3</v>
      </c>
      <c r="BS153" s="546">
        <f t="shared" si="229"/>
        <v>3.5858257727246893E-3</v>
      </c>
      <c r="BT153" s="546">
        <f t="shared" si="230"/>
        <v>9.7653167905624554E-3</v>
      </c>
      <c r="BU153" s="546"/>
      <c r="BV153" s="546">
        <f t="shared" si="231"/>
        <v>9.029771276595747E-3</v>
      </c>
      <c r="BW153" s="472">
        <f t="shared" si="232"/>
        <v>28.092149870602981</v>
      </c>
      <c r="BX153" s="179">
        <f t="shared" si="233"/>
        <v>0.1136548153219686</v>
      </c>
      <c r="BY153" s="6">
        <f t="shared" si="234"/>
        <v>1.1352</v>
      </c>
      <c r="BZ153" s="179">
        <f t="shared" si="235"/>
        <v>0.9089927716756514</v>
      </c>
      <c r="CA153" s="6">
        <f t="shared" si="236"/>
        <v>90.899277167565145</v>
      </c>
      <c r="CD153" s="581">
        <f t="shared" si="276"/>
        <v>-50</v>
      </c>
      <c r="CE153">
        <f t="shared" si="277"/>
        <v>-50</v>
      </c>
    </row>
    <row r="154" spans="5:83" x14ac:dyDescent="0.2">
      <c r="E154" s="176">
        <v>44</v>
      </c>
      <c r="F154" s="223">
        <f t="shared" si="278"/>
        <v>4.8399999999999999E-2</v>
      </c>
      <c r="G154" s="223"/>
      <c r="H154" s="223">
        <f t="shared" si="248"/>
        <v>1.1616</v>
      </c>
      <c r="I154" s="559">
        <f t="shared" si="249"/>
        <v>10</v>
      </c>
      <c r="J154" s="454">
        <f t="shared" si="250"/>
        <v>24.25</v>
      </c>
      <c r="K154" s="454">
        <f t="shared" si="251"/>
        <v>34.25</v>
      </c>
      <c r="L154" s="454"/>
      <c r="M154" s="223">
        <f t="shared" si="252"/>
        <v>0.70802919708029199</v>
      </c>
      <c r="N154" s="178">
        <f t="shared" si="253"/>
        <v>4.8765510948905106</v>
      </c>
      <c r="O154" s="178">
        <f t="shared" si="244"/>
        <v>1.1616</v>
      </c>
      <c r="P154" s="223">
        <f t="shared" si="254"/>
        <v>0.20318962895377127</v>
      </c>
      <c r="Q154" s="223">
        <f t="shared" si="255"/>
        <v>24</v>
      </c>
      <c r="R154" s="223"/>
      <c r="S154" s="178">
        <f t="shared" si="256"/>
        <v>132.32257660358357</v>
      </c>
      <c r="T154" s="178">
        <f t="shared" si="257"/>
        <v>24</v>
      </c>
      <c r="U154" s="223">
        <f t="shared" si="258"/>
        <v>0.34539164405860007</v>
      </c>
      <c r="V154" s="223">
        <f t="shared" si="259"/>
        <v>1.6233407270754203</v>
      </c>
      <c r="W154" s="223">
        <f t="shared" si="260"/>
        <v>0.66941885652594646</v>
      </c>
      <c r="X154" s="203">
        <f t="shared" si="261"/>
        <v>350</v>
      </c>
      <c r="Y154" s="454">
        <f t="shared" si="203"/>
        <v>350</v>
      </c>
      <c r="AA154" s="223">
        <f t="shared" si="262"/>
        <v>0.43041288576309544</v>
      </c>
      <c r="AB154" s="179">
        <f t="shared" si="263"/>
        <v>0.83420229405630864</v>
      </c>
      <c r="AC154" s="179">
        <f t="shared" si="264"/>
        <v>6.2833997921619769E-2</v>
      </c>
      <c r="AD154" s="179"/>
      <c r="AE154" s="179">
        <f t="shared" si="265"/>
        <v>0.56206185567010303</v>
      </c>
      <c r="AF154" s="563">
        <f t="shared" si="266"/>
        <v>593.87254281883281</v>
      </c>
      <c r="AG154" s="546">
        <f t="shared" si="267"/>
        <v>2.8524639175257726E-2</v>
      </c>
      <c r="AI154" s="179">
        <f t="shared" si="268"/>
        <v>0.37775532841496312</v>
      </c>
      <c r="AJ154" s="179">
        <f t="shared" si="269"/>
        <v>0.37775532841496312</v>
      </c>
      <c r="AK154" s="179">
        <f t="shared" si="270"/>
        <v>1.2650039469740468</v>
      </c>
      <c r="AM154" s="563">
        <f t="shared" si="271"/>
        <v>48.4</v>
      </c>
      <c r="AN154" s="472">
        <f t="shared" si="272"/>
        <v>350</v>
      </c>
      <c r="AP154" s="472">
        <f t="shared" si="273"/>
        <v>48.4</v>
      </c>
      <c r="AQ154" s="472">
        <f t="shared" si="274"/>
        <v>350</v>
      </c>
      <c r="AS154" s="6">
        <f t="shared" si="245"/>
        <v>2.8571428571428572</v>
      </c>
      <c r="AT154" s="6">
        <f t="shared" si="275"/>
        <v>1.7754500435503267</v>
      </c>
      <c r="AU154" s="6">
        <f t="shared" si="218"/>
        <v>1.0816928135925306</v>
      </c>
      <c r="AV154" s="6"/>
      <c r="AW154" s="179">
        <f t="shared" si="219"/>
        <v>0.62140751524261428</v>
      </c>
      <c r="AX154" s="179">
        <f t="shared" si="241"/>
        <v>1.1737</v>
      </c>
      <c r="AY154" s="179">
        <f t="shared" si="242"/>
        <v>7.1507664207481586E-2</v>
      </c>
      <c r="AZ154" s="179">
        <f t="shared" si="246"/>
        <v>16.413625210781252</v>
      </c>
      <c r="BD154" s="179">
        <f t="shared" si="247"/>
        <v>0.17192467904301234</v>
      </c>
      <c r="BE154" s="179">
        <f t="shared" si="243"/>
        <v>0.13419488608458993</v>
      </c>
      <c r="BG154" s="546">
        <f t="shared" si="220"/>
        <v>1.0345333342414982E-2</v>
      </c>
      <c r="BH154" s="546">
        <f t="shared" si="221"/>
        <v>3.3962564995307781E-2</v>
      </c>
      <c r="BI154" s="546">
        <f t="shared" si="222"/>
        <v>4.3749999999999995E-3</v>
      </c>
      <c r="BJ154" s="546">
        <f t="shared" si="223"/>
        <v>2.0528593750000001E-2</v>
      </c>
      <c r="BK154">
        <f t="shared" si="224"/>
        <v>2.8999999999999998E-3</v>
      </c>
      <c r="BM154" s="472">
        <f t="shared" si="225"/>
        <v>72.111492087722752</v>
      </c>
      <c r="BN154" s="546">
        <f t="shared" si="226"/>
        <v>1.4519999999999998E-2</v>
      </c>
      <c r="BQ154" s="472">
        <f t="shared" si="227"/>
        <v>14.519999999999998</v>
      </c>
      <c r="BR154" s="546">
        <f t="shared" si="228"/>
        <v>5.9116190528085621E-3</v>
      </c>
      <c r="BS154" s="546">
        <f t="shared" si="229"/>
        <v>3.601653490251214E-3</v>
      </c>
      <c r="BT154" s="546">
        <f t="shared" si="230"/>
        <v>1.005001274851415E-2</v>
      </c>
      <c r="BU154" s="546"/>
      <c r="BV154" s="546">
        <f t="shared" si="231"/>
        <v>9.2397659574468098E-3</v>
      </c>
      <c r="BW154" s="472">
        <f t="shared" si="232"/>
        <v>28.803051249020733</v>
      </c>
      <c r="BX154" s="179">
        <f t="shared" si="233"/>
        <v>0.11543454333674348</v>
      </c>
      <c r="BY154" s="6">
        <f t="shared" si="234"/>
        <v>1.1616</v>
      </c>
      <c r="BZ154" s="179">
        <f t="shared" si="235"/>
        <v>0.90960734465715676</v>
      </c>
      <c r="CA154" s="6">
        <f t="shared" si="236"/>
        <v>90.960734465715674</v>
      </c>
      <c r="CD154" s="581">
        <f t="shared" si="276"/>
        <v>-50</v>
      </c>
      <c r="CE154">
        <f t="shared" si="277"/>
        <v>-50</v>
      </c>
    </row>
    <row r="155" spans="5:83" x14ac:dyDescent="0.2">
      <c r="E155" s="176">
        <v>45</v>
      </c>
      <c r="F155" s="223">
        <f t="shared" si="278"/>
        <v>4.9500000000000002E-2</v>
      </c>
      <c r="G155" s="223"/>
      <c r="H155" s="223">
        <f t="shared" si="248"/>
        <v>1.1880000000000002</v>
      </c>
      <c r="I155" s="559">
        <f t="shared" si="249"/>
        <v>10</v>
      </c>
      <c r="J155" s="454">
        <f t="shared" si="250"/>
        <v>24.25</v>
      </c>
      <c r="K155" s="454">
        <f t="shared" si="251"/>
        <v>34.25</v>
      </c>
      <c r="L155" s="454"/>
      <c r="M155" s="223">
        <f t="shared" si="252"/>
        <v>0.70802919708029199</v>
      </c>
      <c r="N155" s="178">
        <f t="shared" si="253"/>
        <v>4.8765510948905106</v>
      </c>
      <c r="O155" s="178">
        <f t="shared" si="244"/>
        <v>1.1880000000000002</v>
      </c>
      <c r="P155" s="223">
        <f t="shared" si="254"/>
        <v>0.20318962895377127</v>
      </c>
      <c r="Q155" s="223">
        <f t="shared" si="255"/>
        <v>24</v>
      </c>
      <c r="R155" s="223"/>
      <c r="S155" s="178">
        <f t="shared" si="256"/>
        <v>129.16073247732137</v>
      </c>
      <c r="T155" s="178">
        <f t="shared" si="257"/>
        <v>24</v>
      </c>
      <c r="U155" s="223">
        <f t="shared" si="258"/>
        <v>0.35324145415084107</v>
      </c>
      <c r="V155" s="223">
        <f t="shared" si="259"/>
        <v>1.660234834508953</v>
      </c>
      <c r="W155" s="223">
        <f t="shared" si="260"/>
        <v>0.68463292144699095</v>
      </c>
      <c r="X155" s="203">
        <f t="shared" si="261"/>
        <v>350</v>
      </c>
      <c r="Y155" s="454">
        <f t="shared" si="203"/>
        <v>350</v>
      </c>
      <c r="AA155" s="223">
        <f t="shared" si="262"/>
        <v>0.43041288576309544</v>
      </c>
      <c r="AB155" s="179">
        <f t="shared" si="263"/>
        <v>0.83420229405630864</v>
      </c>
      <c r="AC155" s="179">
        <f t="shared" si="264"/>
        <v>6.2833997921619769E-2</v>
      </c>
      <c r="AD155" s="179"/>
      <c r="AE155" s="179">
        <f t="shared" si="265"/>
        <v>0.56206185567010303</v>
      </c>
      <c r="AF155" s="563">
        <f t="shared" si="266"/>
        <v>607.36964606471543</v>
      </c>
      <c r="AG155" s="546">
        <f t="shared" si="267"/>
        <v>2.8524639175257726E-2</v>
      </c>
      <c r="AI155" s="179">
        <f t="shared" si="268"/>
        <v>0.38202388569318751</v>
      </c>
      <c r="AJ155" s="179">
        <f t="shared" si="269"/>
        <v>0.38202388569318751</v>
      </c>
      <c r="AK155" s="179">
        <f t="shared" si="270"/>
        <v>1.2681658412542129</v>
      </c>
      <c r="AM155" s="563">
        <f t="shared" si="271"/>
        <v>49.5</v>
      </c>
      <c r="AN155" s="472">
        <f t="shared" si="272"/>
        <v>350</v>
      </c>
      <c r="AP155" s="472">
        <f t="shared" si="273"/>
        <v>49.5</v>
      </c>
      <c r="AQ155" s="472">
        <f t="shared" si="274"/>
        <v>350</v>
      </c>
      <c r="AS155" s="6">
        <f t="shared" si="245"/>
        <v>2.8571428571428572</v>
      </c>
      <c r="AT155" s="6">
        <f t="shared" si="275"/>
        <v>1.7955122627579811</v>
      </c>
      <c r="AU155" s="6">
        <f t="shared" si="218"/>
        <v>1.0616305943848761</v>
      </c>
      <c r="AV155" s="6"/>
      <c r="AW155" s="179">
        <f t="shared" si="219"/>
        <v>0.6284292919652934</v>
      </c>
      <c r="AX155" s="179">
        <f t="shared" si="241"/>
        <v>1.2003750000000002</v>
      </c>
      <c r="AY155" s="179">
        <f t="shared" si="242"/>
        <v>7.0974442846593752E-2</v>
      </c>
      <c r="AZ155" s="179">
        <f t="shared" si="246"/>
        <v>16.912778062865897</v>
      </c>
      <c r="BD155" s="179">
        <f t="shared" si="247"/>
        <v>0.17484696580895345</v>
      </c>
      <c r="BE155" s="179">
        <f t="shared" si="243"/>
        <v>0.13444684808792109</v>
      </c>
      <c r="BG155" s="546">
        <f t="shared" si="220"/>
        <v>1.0700011508409069E-2</v>
      </c>
      <c r="BH155" s="546">
        <f t="shared" si="221"/>
        <v>3.4346334973103139E-2</v>
      </c>
      <c r="BI155" s="546">
        <f t="shared" si="222"/>
        <v>4.3749999999999995E-3</v>
      </c>
      <c r="BJ155" s="546">
        <f t="shared" si="223"/>
        <v>2.0528593750000001E-2</v>
      </c>
      <c r="BK155">
        <f t="shared" si="224"/>
        <v>2.8999999999999998E-3</v>
      </c>
      <c r="BM155" s="472">
        <f t="shared" si="225"/>
        <v>72.849940231512207</v>
      </c>
      <c r="BN155" s="546">
        <f t="shared" si="226"/>
        <v>1.485E-2</v>
      </c>
      <c r="BQ155" s="472">
        <f t="shared" si="227"/>
        <v>14.85</v>
      </c>
      <c r="BR155" s="546">
        <f t="shared" si="228"/>
        <v>6.1142922905194682E-3</v>
      </c>
      <c r="BS155" s="546">
        <f t="shared" si="229"/>
        <v>3.6151909921553066E-3</v>
      </c>
      <c r="BT155" s="546">
        <f t="shared" si="230"/>
        <v>1.0336331023845168E-2</v>
      </c>
      <c r="BU155" s="546"/>
      <c r="BV155" s="546">
        <f t="shared" si="231"/>
        <v>9.4497606382978761E-3</v>
      </c>
      <c r="BW155" s="472">
        <f t="shared" si="232"/>
        <v>29.515574944817818</v>
      </c>
      <c r="BX155" s="179">
        <f t="shared" si="233"/>
        <v>0.11721551517633001</v>
      </c>
      <c r="BY155" s="6">
        <f t="shared" si="234"/>
        <v>1.1880000000000002</v>
      </c>
      <c r="BZ155" s="179">
        <f t="shared" si="235"/>
        <v>0.91019451284986086</v>
      </c>
      <c r="CA155" s="6">
        <f t="shared" si="236"/>
        <v>91.01945128498609</v>
      </c>
      <c r="CD155" s="581">
        <f t="shared" si="276"/>
        <v>-50</v>
      </c>
      <c r="CE155">
        <f t="shared" si="277"/>
        <v>-50</v>
      </c>
    </row>
    <row r="156" spans="5:83" s="78" customFormat="1" x14ac:dyDescent="0.2">
      <c r="E156" s="195">
        <v>46</v>
      </c>
      <c r="F156" s="335">
        <f t="shared" si="278"/>
        <v>5.0599999999999999E-2</v>
      </c>
      <c r="G156" s="335"/>
      <c r="H156" s="335">
        <f t="shared" si="248"/>
        <v>1.2143999999999999</v>
      </c>
      <c r="I156" s="559">
        <f t="shared" si="249"/>
        <v>10</v>
      </c>
      <c r="J156" s="454">
        <f t="shared" si="250"/>
        <v>24.25</v>
      </c>
      <c r="K156" s="553">
        <f t="shared" si="251"/>
        <v>34.25</v>
      </c>
      <c r="L156" s="553"/>
      <c r="M156" s="335">
        <f t="shared" si="252"/>
        <v>0.70802919708029199</v>
      </c>
      <c r="N156" s="554">
        <f t="shared" si="253"/>
        <v>4.8765510948905106</v>
      </c>
      <c r="O156" s="178">
        <f t="shared" si="244"/>
        <v>1.2143999999999999</v>
      </c>
      <c r="P156" s="335">
        <f t="shared" si="254"/>
        <v>0.20318962895377127</v>
      </c>
      <c r="Q156" s="335">
        <f t="shared" si="255"/>
        <v>24</v>
      </c>
      <c r="R156" s="335"/>
      <c r="S156" s="178">
        <f t="shared" si="256"/>
        <v>126.13638140273052</v>
      </c>
      <c r="T156" s="178">
        <f t="shared" si="257"/>
        <v>24</v>
      </c>
      <c r="U156" s="223">
        <f t="shared" si="258"/>
        <v>0.36109126424308191</v>
      </c>
      <c r="V156" s="335">
        <f t="shared" si="259"/>
        <v>1.6971289419424846</v>
      </c>
      <c r="W156" s="335">
        <f t="shared" si="260"/>
        <v>0.699846986368035</v>
      </c>
      <c r="X156" s="555">
        <f t="shared" si="261"/>
        <v>350</v>
      </c>
      <c r="Y156" s="553">
        <f t="shared" si="203"/>
        <v>350</v>
      </c>
      <c r="AA156" s="335">
        <f t="shared" si="262"/>
        <v>0.43041288576309544</v>
      </c>
      <c r="AB156" s="556">
        <f t="shared" si="263"/>
        <v>0.83420229405630864</v>
      </c>
      <c r="AC156" s="556">
        <f t="shared" si="264"/>
        <v>6.2833997921619769E-2</v>
      </c>
      <c r="AD156" s="556"/>
      <c r="AE156" s="556">
        <f t="shared" si="265"/>
        <v>0.56206185567010303</v>
      </c>
      <c r="AF156" s="583">
        <f t="shared" si="266"/>
        <v>620.86674931059792</v>
      </c>
      <c r="AG156" s="600">
        <f t="shared" si="267"/>
        <v>2.8524639175257726E-2</v>
      </c>
      <c r="AI156" s="556">
        <f t="shared" si="268"/>
        <v>0.38624527224853705</v>
      </c>
      <c r="AJ156" s="556">
        <f t="shared" si="269"/>
        <v>0.38624527224853705</v>
      </c>
      <c r="AK156" s="556">
        <f t="shared" si="270"/>
        <v>1.2712927942581755</v>
      </c>
      <c r="AM156" s="583">
        <f t="shared" si="271"/>
        <v>50.6</v>
      </c>
      <c r="AN156" s="584">
        <f t="shared" si="272"/>
        <v>350</v>
      </c>
      <c r="AP156" s="78">
        <f t="shared" si="273"/>
        <v>50.6</v>
      </c>
      <c r="AQ156" s="78">
        <f t="shared" si="274"/>
        <v>350</v>
      </c>
      <c r="AS156" s="552">
        <f t="shared" si="245"/>
        <v>2.8571428571428572</v>
      </c>
      <c r="AT156" s="6">
        <f t="shared" si="275"/>
        <v>1.8153527795681241</v>
      </c>
      <c r="AU156" s="6">
        <f t="shared" si="218"/>
        <v>1.0417900775747331</v>
      </c>
      <c r="AV156" s="6"/>
      <c r="AW156" s="179">
        <f t="shared" si="219"/>
        <v>0.63537347284884338</v>
      </c>
      <c r="AX156" s="179">
        <f t="shared" si="241"/>
        <v>1.2270500000000002</v>
      </c>
      <c r="AY156" s="179">
        <f t="shared" si="242"/>
        <v>7.0417636124268532E-2</v>
      </c>
      <c r="AZ156" s="179">
        <f t="shared" si="246"/>
        <v>17.425322228008067</v>
      </c>
      <c r="BD156" s="179">
        <f t="shared" si="247"/>
        <v>0.17775306116680847</v>
      </c>
      <c r="BE156" s="179">
        <f t="shared" si="243"/>
        <v>0.13465630084506883</v>
      </c>
      <c r="BG156" s="546">
        <f t="shared" si="220"/>
        <v>1.1058652763959903E-2</v>
      </c>
      <c r="BH156" s="546">
        <f t="shared" si="221"/>
        <v>3.4725864008095041E-2</v>
      </c>
      <c r="BI156" s="546">
        <f t="shared" si="222"/>
        <v>4.3749999999999995E-3</v>
      </c>
      <c r="BJ156" s="546">
        <f t="shared" si="223"/>
        <v>2.0528593750000001E-2</v>
      </c>
      <c r="BK156">
        <f t="shared" si="224"/>
        <v>2.8999999999999998E-3</v>
      </c>
      <c r="BL156"/>
      <c r="BM156" s="472">
        <f t="shared" si="225"/>
        <v>73.588110522054933</v>
      </c>
      <c r="BN156" s="546">
        <f t="shared" si="226"/>
        <v>1.5179999999999999E-2</v>
      </c>
      <c r="BQ156" s="472">
        <f t="shared" si="227"/>
        <v>15.18</v>
      </c>
      <c r="BR156" s="546">
        <f t="shared" si="228"/>
        <v>6.3192301508342309E-3</v>
      </c>
      <c r="BS156" s="546">
        <f t="shared" si="229"/>
        <v>3.626463871455537E-3</v>
      </c>
      <c r="BT156" s="546">
        <f t="shared" si="230"/>
        <v>1.062424449815891E-2</v>
      </c>
      <c r="BU156" s="546"/>
      <c r="BV156" s="546">
        <f t="shared" si="231"/>
        <v>9.6597553191489372E-3</v>
      </c>
      <c r="BW156" s="472">
        <f t="shared" si="232"/>
        <v>30.229693839597616</v>
      </c>
      <c r="BX156" s="179">
        <f t="shared" si="233"/>
        <v>0.11899780436165255</v>
      </c>
      <c r="BY156" s="6">
        <f t="shared" si="234"/>
        <v>1.2143999999999999</v>
      </c>
      <c r="BZ156" s="179">
        <f t="shared" si="235"/>
        <v>0.91075596196993791</v>
      </c>
      <c r="CA156" s="6">
        <f t="shared" si="236"/>
        <v>91.075596196993786</v>
      </c>
      <c r="CD156" s="581">
        <f t="shared" si="276"/>
        <v>-50</v>
      </c>
      <c r="CE156">
        <f t="shared" si="277"/>
        <v>-50</v>
      </c>
    </row>
    <row r="157" spans="5:83" x14ac:dyDescent="0.2">
      <c r="E157" s="176">
        <v>47</v>
      </c>
      <c r="F157" s="223">
        <f t="shared" si="278"/>
        <v>5.1699999999999996E-2</v>
      </c>
      <c r="G157" s="223"/>
      <c r="H157" s="223">
        <f t="shared" si="248"/>
        <v>1.2407999999999999</v>
      </c>
      <c r="I157" s="559">
        <f t="shared" si="249"/>
        <v>10</v>
      </c>
      <c r="J157" s="454">
        <f t="shared" si="250"/>
        <v>24.25</v>
      </c>
      <c r="K157" s="454">
        <f t="shared" si="251"/>
        <v>34.25</v>
      </c>
      <c r="L157" s="454"/>
      <c r="M157" s="223">
        <f t="shared" si="252"/>
        <v>0.70802919708029199</v>
      </c>
      <c r="N157" s="178">
        <f t="shared" si="253"/>
        <v>4.8765510948905106</v>
      </c>
      <c r="O157" s="178">
        <f t="shared" si="244"/>
        <v>1.2407999999999999</v>
      </c>
      <c r="P157" s="223">
        <f t="shared" si="254"/>
        <v>0.20318962895377127</v>
      </c>
      <c r="Q157" s="223">
        <f t="shared" si="255"/>
        <v>24</v>
      </c>
      <c r="R157" s="223"/>
      <c r="S157" s="178">
        <f t="shared" si="256"/>
        <v>123.24074733305424</v>
      </c>
      <c r="T157" s="178">
        <f t="shared" si="257"/>
        <v>24</v>
      </c>
      <c r="U157" s="223">
        <f t="shared" si="258"/>
        <v>0.36894107433532281</v>
      </c>
      <c r="V157" s="223">
        <f t="shared" si="259"/>
        <v>1.7340230493760169</v>
      </c>
      <c r="W157" s="223">
        <f t="shared" si="260"/>
        <v>0.71506105128907926</v>
      </c>
      <c r="X157" s="203">
        <f t="shared" si="261"/>
        <v>350</v>
      </c>
      <c r="Y157" s="454">
        <f t="shared" si="203"/>
        <v>350</v>
      </c>
      <c r="AA157" s="223">
        <f t="shared" si="262"/>
        <v>0.43041288576309544</v>
      </c>
      <c r="AB157" s="179">
        <f t="shared" si="263"/>
        <v>0.83420229405630864</v>
      </c>
      <c r="AC157" s="179">
        <f t="shared" si="264"/>
        <v>6.2833997921619769E-2</v>
      </c>
      <c r="AD157" s="179"/>
      <c r="AE157" s="179">
        <f t="shared" si="265"/>
        <v>0.56206185567010303</v>
      </c>
      <c r="AF157" s="563">
        <f t="shared" si="266"/>
        <v>634.36385255648042</v>
      </c>
      <c r="AG157" s="546">
        <f t="shared" si="267"/>
        <v>2.8524639175257726E-2</v>
      </c>
      <c r="AI157" s="179">
        <f t="shared" si="268"/>
        <v>0.39042101816957991</v>
      </c>
      <c r="AJ157" s="179">
        <f t="shared" si="269"/>
        <v>0.39042101816957991</v>
      </c>
      <c r="AK157" s="179">
        <f t="shared" si="270"/>
        <v>1.274385939384874</v>
      </c>
      <c r="AM157" s="563">
        <f t="shared" si="271"/>
        <v>51.699999999999996</v>
      </c>
      <c r="AN157" s="472">
        <f t="shared" si="272"/>
        <v>350</v>
      </c>
      <c r="AP157">
        <f t="shared" si="273"/>
        <v>51.699999999999996</v>
      </c>
      <c r="AQ157">
        <f t="shared" si="274"/>
        <v>350</v>
      </c>
      <c r="AS157" s="6">
        <f t="shared" si="245"/>
        <v>2.8571428571428572</v>
      </c>
      <c r="AT157" s="6">
        <f t="shared" si="275"/>
        <v>1.8349787853970256</v>
      </c>
      <c r="AU157" s="6">
        <f t="shared" si="218"/>
        <v>1.0221640717458316</v>
      </c>
      <c r="AV157" s="6"/>
      <c r="AW157" s="179">
        <f t="shared" si="219"/>
        <v>0.64224257488895897</v>
      </c>
      <c r="AX157" s="179">
        <f t="shared" si="241"/>
        <v>1.253725</v>
      </c>
      <c r="AY157" s="179">
        <f t="shared" si="242"/>
        <v>6.9838009084789932E-2</v>
      </c>
      <c r="AZ157" s="179">
        <f t="shared" si="246"/>
        <v>17.951900640206674</v>
      </c>
      <c r="BD157" s="179">
        <f t="shared" si="247"/>
        <v>0.18064340397675871</v>
      </c>
      <c r="BE157" s="179">
        <f t="shared" si="243"/>
        <v>0.13482390147601192</v>
      </c>
      <c r="BG157" s="546">
        <f t="shared" si="220"/>
        <v>1.1421213790108655E-2</v>
      </c>
      <c r="BH157" s="546">
        <f t="shared" si="221"/>
        <v>3.5101289664808792E-2</v>
      </c>
      <c r="BI157" s="546">
        <f t="shared" si="222"/>
        <v>4.3749999999999995E-3</v>
      </c>
      <c r="BJ157" s="546">
        <f t="shared" si="223"/>
        <v>2.0528593750000001E-2</v>
      </c>
      <c r="BK157">
        <f t="shared" si="224"/>
        <v>2.8999999999999998E-3</v>
      </c>
      <c r="BM157" s="472">
        <f t="shared" si="225"/>
        <v>74.326097204917431</v>
      </c>
      <c r="BN157" s="546">
        <f t="shared" si="226"/>
        <v>1.5509999999999998E-2</v>
      </c>
      <c r="BQ157" s="472">
        <f t="shared" si="227"/>
        <v>15.509999999999998</v>
      </c>
      <c r="BR157" s="546">
        <f t="shared" si="228"/>
        <v>6.5264078800620897E-3</v>
      </c>
      <c r="BS157" s="546">
        <f t="shared" si="229"/>
        <v>3.6354968818426737E-3</v>
      </c>
      <c r="BT157" s="546">
        <f t="shared" si="230"/>
        <v>1.0913727087806628E-2</v>
      </c>
      <c r="BU157" s="546"/>
      <c r="BV157" s="546">
        <f t="shared" si="231"/>
        <v>9.8697500000000018E-3</v>
      </c>
      <c r="BW157" s="472">
        <f t="shared" si="232"/>
        <v>30.945381849711392</v>
      </c>
      <c r="BX157" s="179">
        <f t="shared" si="233"/>
        <v>0.12078147905462881</v>
      </c>
      <c r="BY157" s="6">
        <f t="shared" si="234"/>
        <v>1.2407999999999999</v>
      </c>
      <c r="BZ157" s="179">
        <f t="shared" si="235"/>
        <v>0.91129324178345195</v>
      </c>
      <c r="CA157" s="6">
        <f t="shared" si="236"/>
        <v>91.1293241783452</v>
      </c>
      <c r="CD157" s="581">
        <f t="shared" si="276"/>
        <v>-50</v>
      </c>
      <c r="CE157">
        <f t="shared" si="277"/>
        <v>-50</v>
      </c>
    </row>
    <row r="158" spans="5:83" x14ac:dyDescent="0.2">
      <c r="E158" s="176">
        <v>48</v>
      </c>
      <c r="F158" s="223">
        <f t="shared" si="278"/>
        <v>5.28E-2</v>
      </c>
      <c r="G158" s="223"/>
      <c r="H158" s="223">
        <f t="shared" si="248"/>
        <v>1.2671999999999999</v>
      </c>
      <c r="I158" s="559">
        <f t="shared" si="249"/>
        <v>10</v>
      </c>
      <c r="J158" s="454">
        <f t="shared" si="250"/>
        <v>24.25</v>
      </c>
      <c r="K158" s="454">
        <f t="shared" si="251"/>
        <v>34.25</v>
      </c>
      <c r="L158" s="454"/>
      <c r="M158" s="223">
        <f t="shared" si="252"/>
        <v>0.70802919708029199</v>
      </c>
      <c r="N158" s="178">
        <f t="shared" si="253"/>
        <v>4.8765510948905106</v>
      </c>
      <c r="O158" s="178">
        <f t="shared" si="244"/>
        <v>1.2671999999999999</v>
      </c>
      <c r="P158" s="223">
        <f t="shared" si="254"/>
        <v>0.20318962895377127</v>
      </c>
      <c r="Q158" s="223">
        <f t="shared" si="255"/>
        <v>24</v>
      </c>
      <c r="R158" s="223"/>
      <c r="S158" s="178">
        <f t="shared" si="256"/>
        <v>120.4657855594332</v>
      </c>
      <c r="T158" s="178">
        <f t="shared" si="257"/>
        <v>24</v>
      </c>
      <c r="U158" s="223">
        <f t="shared" si="258"/>
        <v>0.3767908844275637</v>
      </c>
      <c r="V158" s="223">
        <f t="shared" si="259"/>
        <v>1.7709171568095494</v>
      </c>
      <c r="W158" s="223">
        <f t="shared" si="260"/>
        <v>0.73027511621012353</v>
      </c>
      <c r="X158" s="203">
        <f t="shared" si="261"/>
        <v>350</v>
      </c>
      <c r="Y158" s="454">
        <f t="shared" si="203"/>
        <v>350</v>
      </c>
      <c r="AA158" s="223">
        <f t="shared" si="262"/>
        <v>0.43041288576309544</v>
      </c>
      <c r="AB158" s="179">
        <f t="shared" si="263"/>
        <v>0.83420229405630864</v>
      </c>
      <c r="AC158" s="179">
        <f t="shared" si="264"/>
        <v>6.2833997921619769E-2</v>
      </c>
      <c r="AD158" s="179"/>
      <c r="AE158" s="179">
        <f t="shared" si="265"/>
        <v>0.56206185567010303</v>
      </c>
      <c r="AF158" s="563">
        <f t="shared" si="266"/>
        <v>647.86095580236315</v>
      </c>
      <c r="AG158" s="546">
        <f t="shared" si="267"/>
        <v>2.8524639175257726E-2</v>
      </c>
      <c r="AI158" s="179">
        <f t="shared" si="268"/>
        <v>0.39455257257150961</v>
      </c>
      <c r="AJ158" s="179">
        <f t="shared" si="269"/>
        <v>0.39455257257150961</v>
      </c>
      <c r="AK158" s="179">
        <f t="shared" si="270"/>
        <v>1.27744635005297</v>
      </c>
      <c r="AM158" s="563">
        <f t="shared" si="271"/>
        <v>52.8</v>
      </c>
      <c r="AN158" s="472">
        <f t="shared" si="272"/>
        <v>350</v>
      </c>
      <c r="AP158">
        <f t="shared" si="273"/>
        <v>52.8</v>
      </c>
      <c r="AQ158">
        <f t="shared" si="274"/>
        <v>350</v>
      </c>
      <c r="AS158" s="6">
        <f t="shared" si="245"/>
        <v>2.8571428571428572</v>
      </c>
      <c r="AT158" s="6">
        <f t="shared" si="275"/>
        <v>1.8543970910860952</v>
      </c>
      <c r="AU158" s="6">
        <f t="shared" si="218"/>
        <v>1.002745766056762</v>
      </c>
      <c r="AV158" s="6"/>
      <c r="AW158" s="179">
        <f t="shared" si="219"/>
        <v>0.64903898188013331</v>
      </c>
      <c r="AX158" s="179">
        <f t="shared" si="241"/>
        <v>1.2804000000000002</v>
      </c>
      <c r="AY158" s="179">
        <f t="shared" si="242"/>
        <v>6.9236286285754803E-2</v>
      </c>
      <c r="AZ158" s="179">
        <f t="shared" si="246"/>
        <v>18.493192929434162</v>
      </c>
      <c r="BD158" s="179">
        <f t="shared" si="247"/>
        <v>0.18351841214086412</v>
      </c>
      <c r="BE158" s="179">
        <f t="shared" si="243"/>
        <v>0.13495024976966408</v>
      </c>
      <c r="BG158" s="546">
        <f t="shared" si="220"/>
        <v>1.178765265814642E-2</v>
      </c>
      <c r="BH158" s="546">
        <f t="shared" si="221"/>
        <v>3.5472742227757287E-2</v>
      </c>
      <c r="BI158" s="546">
        <f t="shared" si="222"/>
        <v>4.3749999999999995E-3</v>
      </c>
      <c r="BJ158" s="546">
        <f t="shared" si="223"/>
        <v>2.0528593750000001E-2</v>
      </c>
      <c r="BK158">
        <f t="shared" si="224"/>
        <v>2.8999999999999998E-3</v>
      </c>
      <c r="BM158" s="472">
        <f t="shared" si="225"/>
        <v>75.063988635903698</v>
      </c>
      <c r="BN158" s="546">
        <f t="shared" si="226"/>
        <v>1.584E-2</v>
      </c>
      <c r="BQ158" s="472">
        <f t="shared" si="227"/>
        <v>15.84</v>
      </c>
      <c r="BR158" s="546">
        <f t="shared" si="228"/>
        <v>6.7358015189408127E-3</v>
      </c>
      <c r="BS158" s="546">
        <f t="shared" si="229"/>
        <v>3.6423139825789439E-3</v>
      </c>
      <c r="BT158" s="546">
        <f t="shared" si="230"/>
        <v>1.120475368316212E-2</v>
      </c>
      <c r="BU158" s="546"/>
      <c r="BV158" s="546">
        <f t="shared" si="231"/>
        <v>1.0079744680851065E-2</v>
      </c>
      <c r="BW158" s="472">
        <f t="shared" si="232"/>
        <v>31.662613865532943</v>
      </c>
      <c r="BX158" s="179">
        <f t="shared" si="233"/>
        <v>0.12256660250143664</v>
      </c>
      <c r="BY158" s="6">
        <f t="shared" si="234"/>
        <v>1.2671999999999999</v>
      </c>
      <c r="BZ158" s="179">
        <f t="shared" si="235"/>
        <v>0.91180777960786408</v>
      </c>
      <c r="CA158" s="6">
        <f t="shared" si="236"/>
        <v>91.180777960786401</v>
      </c>
      <c r="CD158" s="581">
        <f t="shared" si="276"/>
        <v>-50</v>
      </c>
      <c r="CE158">
        <f t="shared" si="277"/>
        <v>-50</v>
      </c>
    </row>
    <row r="159" spans="5:83" x14ac:dyDescent="0.2">
      <c r="E159" s="176">
        <v>49</v>
      </c>
      <c r="F159" s="223">
        <f t="shared" si="278"/>
        <v>5.3899999999999997E-2</v>
      </c>
      <c r="G159" s="223"/>
      <c r="H159" s="223">
        <f t="shared" si="248"/>
        <v>1.2935999999999999</v>
      </c>
      <c r="I159" s="559">
        <f t="shared" si="249"/>
        <v>10</v>
      </c>
      <c r="J159" s="454">
        <f t="shared" si="250"/>
        <v>24.25</v>
      </c>
      <c r="K159" s="454">
        <f t="shared" si="251"/>
        <v>34.25</v>
      </c>
      <c r="L159" s="454"/>
      <c r="M159" s="223">
        <f t="shared" si="252"/>
        <v>0.70802919708029199</v>
      </c>
      <c r="N159" s="178">
        <f t="shared" si="253"/>
        <v>4.8765510948905106</v>
      </c>
      <c r="O159" s="178">
        <f t="shared" si="244"/>
        <v>1.2935999999999999</v>
      </c>
      <c r="P159" s="223">
        <f t="shared" si="254"/>
        <v>0.20318962895377127</v>
      </c>
      <c r="Q159" s="223">
        <f t="shared" si="255"/>
        <v>24</v>
      </c>
      <c r="R159" s="223"/>
      <c r="S159" s="178">
        <f t="shared" si="256"/>
        <v>117.80410808459459</v>
      </c>
      <c r="T159" s="178">
        <f t="shared" si="257"/>
        <v>24</v>
      </c>
      <c r="U159" s="223">
        <f t="shared" si="258"/>
        <v>0.38464069451980459</v>
      </c>
      <c r="V159" s="223">
        <f t="shared" si="259"/>
        <v>1.8078112642430817</v>
      </c>
      <c r="W159" s="223">
        <f t="shared" si="260"/>
        <v>0.74548918113116769</v>
      </c>
      <c r="X159" s="203">
        <f t="shared" si="261"/>
        <v>350</v>
      </c>
      <c r="Y159" s="454">
        <f t="shared" si="203"/>
        <v>350</v>
      </c>
      <c r="AA159" s="223">
        <f t="shared" si="262"/>
        <v>0.43041288576309544</v>
      </c>
      <c r="AB159" s="179">
        <f t="shared" si="263"/>
        <v>0.83420229405630864</v>
      </c>
      <c r="AC159" s="179">
        <f t="shared" si="264"/>
        <v>6.2833997921619769E-2</v>
      </c>
      <c r="AD159" s="179"/>
      <c r="AE159" s="179">
        <f t="shared" si="265"/>
        <v>0.56206185567010303</v>
      </c>
      <c r="AF159" s="563">
        <f t="shared" si="266"/>
        <v>661.35805904824554</v>
      </c>
      <c r="AG159" s="546">
        <f t="shared" si="267"/>
        <v>2.8524639175257726E-2</v>
      </c>
      <c r="AI159" s="179">
        <f t="shared" si="268"/>
        <v>0.39864130947133575</v>
      </c>
      <c r="AJ159" s="179">
        <f t="shared" si="269"/>
        <v>0.39864130947133575</v>
      </c>
      <c r="AK159" s="179">
        <f t="shared" si="270"/>
        <v>1.2804750440528412</v>
      </c>
      <c r="AM159" s="563">
        <f t="shared" si="271"/>
        <v>53.9</v>
      </c>
      <c r="AN159" s="472">
        <f t="shared" si="272"/>
        <v>350</v>
      </c>
      <c r="AP159">
        <f t="shared" si="273"/>
        <v>53.9</v>
      </c>
      <c r="AQ159">
        <f t="shared" si="274"/>
        <v>350</v>
      </c>
      <c r="AS159" s="6">
        <f t="shared" si="245"/>
        <v>2.8571428571428572</v>
      </c>
      <c r="AT159" s="6">
        <f t="shared" si="275"/>
        <v>1.8736141545152782</v>
      </c>
      <c r="AU159" s="6">
        <f t="shared" si="218"/>
        <v>0.98352870262757897</v>
      </c>
      <c r="AV159" s="6"/>
      <c r="AW159" s="179">
        <f t="shared" si="219"/>
        <v>0.65576495408034741</v>
      </c>
      <c r="AX159" s="179">
        <f t="shared" si="241"/>
        <v>1.3070749999999998</v>
      </c>
      <c r="AY159" s="179">
        <f t="shared" si="242"/>
        <v>6.8613154735667856E-2</v>
      </c>
      <c r="AZ159" s="179">
        <f t="shared" si="246"/>
        <v>19.049918416308149</v>
      </c>
      <c r="BD159" s="179">
        <f t="shared" si="247"/>
        <v>0.18637848401880983</v>
      </c>
      <c r="BE159" s="179">
        <f t="shared" si="243"/>
        <v>0.13503589115684766</v>
      </c>
      <c r="BG159" s="546">
        <f t="shared" si="220"/>
        <v>1.2157928756802411E-2</v>
      </c>
      <c r="BH159" s="546">
        <f t="shared" si="221"/>
        <v>3.5840345229657275E-2</v>
      </c>
      <c r="BI159" s="546">
        <f t="shared" si="222"/>
        <v>4.3749999999999995E-3</v>
      </c>
      <c r="BJ159" s="546">
        <f t="shared" si="223"/>
        <v>2.0528593750000001E-2</v>
      </c>
      <c r="BK159">
        <f t="shared" si="224"/>
        <v>2.8999999999999998E-3</v>
      </c>
      <c r="BM159" s="472">
        <f t="shared" si="225"/>
        <v>75.801867736459684</v>
      </c>
      <c r="BN159" s="546">
        <f t="shared" si="226"/>
        <v>1.6169999999999997E-2</v>
      </c>
      <c r="BQ159" s="472">
        <f t="shared" si="227"/>
        <v>16.169999999999998</v>
      </c>
      <c r="BR159" s="546">
        <f t="shared" si="228"/>
        <v>6.9473878610299498E-3</v>
      </c>
      <c r="BS159" s="546">
        <f t="shared" si="229"/>
        <v>3.6469383801048024E-3</v>
      </c>
      <c r="BT159" s="546">
        <f t="shared" si="230"/>
        <v>1.1497300092655021E-2</v>
      </c>
      <c r="BU159" s="546"/>
      <c r="BV159" s="546">
        <f t="shared" si="231"/>
        <v>1.0289739361702127E-2</v>
      </c>
      <c r="BW159" s="472">
        <f t="shared" si="232"/>
        <v>32.381365695491901</v>
      </c>
      <c r="BX159" s="179">
        <f t="shared" si="233"/>
        <v>0.12435323343195159</v>
      </c>
      <c r="BY159" s="6">
        <f t="shared" si="234"/>
        <v>1.2935999999999999</v>
      </c>
      <c r="BZ159" s="179">
        <f t="shared" si="235"/>
        <v>0.91230089222972999</v>
      </c>
      <c r="CA159" s="6">
        <f t="shared" si="236"/>
        <v>91.230089222972993</v>
      </c>
      <c r="CD159" s="581">
        <f t="shared" si="276"/>
        <v>-50</v>
      </c>
      <c r="CE159">
        <f t="shared" si="277"/>
        <v>-50</v>
      </c>
    </row>
    <row r="160" spans="5:83" x14ac:dyDescent="0.2">
      <c r="E160" s="176">
        <v>50</v>
      </c>
      <c r="F160" s="223">
        <f t="shared" si="278"/>
        <v>5.5E-2</v>
      </c>
      <c r="G160" s="223"/>
      <c r="H160" s="223">
        <f t="shared" si="248"/>
        <v>1.32</v>
      </c>
      <c r="I160" s="559">
        <f t="shared" si="249"/>
        <v>10</v>
      </c>
      <c r="J160" s="454">
        <f t="shared" si="250"/>
        <v>24.25</v>
      </c>
      <c r="K160" s="454">
        <f t="shared" si="251"/>
        <v>34.25</v>
      </c>
      <c r="L160" s="454"/>
      <c r="M160" s="223">
        <f t="shared" si="252"/>
        <v>0.70802919708029199</v>
      </c>
      <c r="N160" s="178">
        <f t="shared" si="253"/>
        <v>4.8765510948905106</v>
      </c>
      <c r="O160" s="178">
        <f t="shared" si="244"/>
        <v>1.32</v>
      </c>
      <c r="P160" s="223">
        <f t="shared" si="254"/>
        <v>0.20318962895377127</v>
      </c>
      <c r="Q160" s="223">
        <f t="shared" si="255"/>
        <v>24</v>
      </c>
      <c r="R160" s="223"/>
      <c r="S160" s="178">
        <f t="shared" si="256"/>
        <v>115.24891795169853</v>
      </c>
      <c r="T160" s="178">
        <f t="shared" si="257"/>
        <v>24</v>
      </c>
      <c r="U160" s="223">
        <f t="shared" si="258"/>
        <v>0.3924905046120456</v>
      </c>
      <c r="V160" s="223">
        <f t="shared" si="259"/>
        <v>1.8447053716766142</v>
      </c>
      <c r="W160" s="223">
        <f t="shared" si="260"/>
        <v>0.76070324605221196</v>
      </c>
      <c r="X160" s="203">
        <f t="shared" si="261"/>
        <v>350</v>
      </c>
      <c r="Y160" s="454">
        <f t="shared" si="203"/>
        <v>350</v>
      </c>
      <c r="AA160" s="223">
        <f t="shared" si="262"/>
        <v>0.43041288576309544</v>
      </c>
      <c r="AB160" s="179">
        <f t="shared" si="263"/>
        <v>0.83420229405630864</v>
      </c>
      <c r="AC160" s="179">
        <f t="shared" si="264"/>
        <v>6.2833997921619769E-2</v>
      </c>
      <c r="AD160" s="179"/>
      <c r="AE160" s="179">
        <f t="shared" si="265"/>
        <v>0.56206185567010303</v>
      </c>
      <c r="AF160" s="563">
        <f t="shared" si="266"/>
        <v>674.85516229412826</v>
      </c>
      <c r="AG160" s="546">
        <f t="shared" si="267"/>
        <v>2.8524639175257726E-2</v>
      </c>
      <c r="AI160" s="179">
        <f t="shared" si="268"/>
        <v>0.40268853312609515</v>
      </c>
      <c r="AJ160" s="179">
        <f t="shared" si="269"/>
        <v>0.40268853312609515</v>
      </c>
      <c r="AK160" s="179">
        <f t="shared" si="270"/>
        <v>1.2834729875008113</v>
      </c>
      <c r="AM160" s="563">
        <f t="shared" si="271"/>
        <v>55</v>
      </c>
      <c r="AN160" s="472">
        <f t="shared" si="272"/>
        <v>350</v>
      </c>
      <c r="AP160">
        <f t="shared" si="273"/>
        <v>55</v>
      </c>
      <c r="AQ160">
        <f t="shared" si="274"/>
        <v>350</v>
      </c>
      <c r="AS160" s="6">
        <f t="shared" si="245"/>
        <v>2.8571428571428572</v>
      </c>
      <c r="AT160" s="6">
        <f t="shared" si="275"/>
        <v>1.8926361056926471</v>
      </c>
      <c r="AU160" s="6">
        <f t="shared" si="218"/>
        <v>0.96450675145021014</v>
      </c>
      <c r="AV160" s="6"/>
      <c r="AW160" s="179">
        <f t="shared" si="219"/>
        <v>0.66242263699242643</v>
      </c>
      <c r="AX160" s="179">
        <f t="shared" si="241"/>
        <v>1.33375</v>
      </c>
      <c r="AY160" s="179">
        <f t="shared" si="242"/>
        <v>6.7969266563047567E-2</v>
      </c>
      <c r="AZ160" s="179">
        <f t="shared" si="246"/>
        <v>19.622839372009814</v>
      </c>
      <c r="BD160" s="179">
        <f t="shared" si="247"/>
        <v>0.18922399972112935</v>
      </c>
      <c r="BE160" s="179">
        <f t="shared" si="243"/>
        <v>0.13508131933500939</v>
      </c>
      <c r="BG160" s="546">
        <f t="shared" si="220"/>
        <v>1.2532002724661685E-2</v>
      </c>
      <c r="BH160" s="546">
        <f t="shared" si="221"/>
        <v>3.6204215931367988E-2</v>
      </c>
      <c r="BI160" s="546">
        <f t="shared" si="222"/>
        <v>4.3749999999999995E-3</v>
      </c>
      <c r="BJ160" s="546">
        <f t="shared" si="223"/>
        <v>2.0528593750000001E-2</v>
      </c>
      <c r="BK160">
        <f t="shared" si="224"/>
        <v>2.8999999999999998E-3</v>
      </c>
      <c r="BM160" s="472">
        <f t="shared" si="225"/>
        <v>76.539812406029668</v>
      </c>
      <c r="BN160" s="546">
        <f t="shared" si="226"/>
        <v>1.6500000000000001E-2</v>
      </c>
      <c r="BQ160" s="472">
        <f t="shared" si="227"/>
        <v>16.5</v>
      </c>
      <c r="BR160" s="546">
        <f t="shared" si="228"/>
        <v>7.1611444140923927E-3</v>
      </c>
      <c r="BS160" s="546">
        <f t="shared" si="229"/>
        <v>3.6493925666573565E-3</v>
      </c>
      <c r="BT160" s="546">
        <f t="shared" si="230"/>
        <v>1.179134299109978E-2</v>
      </c>
      <c r="BU160" s="546"/>
      <c r="BV160" s="546">
        <f t="shared" si="231"/>
        <v>1.0499734042553194E-2</v>
      </c>
      <c r="BW160" s="472">
        <f t="shared" si="232"/>
        <v>33.10161401440272</v>
      </c>
      <c r="BX160" s="179">
        <f t="shared" si="233"/>
        <v>0.12614142642043241</v>
      </c>
      <c r="BY160" s="6">
        <f t="shared" si="234"/>
        <v>1.32</v>
      </c>
      <c r="BZ160" s="179">
        <f t="shared" si="235"/>
        <v>0.91277379645180035</v>
      </c>
      <c r="CA160" s="6">
        <f t="shared" si="236"/>
        <v>91.277379645180034</v>
      </c>
      <c r="CD160" s="581">
        <f t="shared" si="276"/>
        <v>-50</v>
      </c>
      <c r="CE160">
        <f t="shared" si="277"/>
        <v>-50</v>
      </c>
    </row>
    <row r="161" spans="5:83" x14ac:dyDescent="0.2">
      <c r="E161" s="176">
        <v>51</v>
      </c>
      <c r="F161" s="223">
        <f t="shared" si="278"/>
        <v>5.6100000000000004E-2</v>
      </c>
      <c r="G161" s="223"/>
      <c r="H161" s="223">
        <f t="shared" si="248"/>
        <v>1.3464</v>
      </c>
      <c r="I161" s="559">
        <f t="shared" si="249"/>
        <v>10</v>
      </c>
      <c r="J161" s="454">
        <f t="shared" si="250"/>
        <v>24.25</v>
      </c>
      <c r="K161" s="454">
        <f t="shared" si="251"/>
        <v>34.25</v>
      </c>
      <c r="L161" s="454"/>
      <c r="M161" s="223">
        <f t="shared" si="252"/>
        <v>0.70802919708029199</v>
      </c>
      <c r="N161" s="178">
        <f t="shared" si="253"/>
        <v>4.8765510948905106</v>
      </c>
      <c r="O161" s="178">
        <f t="shared" si="244"/>
        <v>1.3464</v>
      </c>
      <c r="P161" s="223">
        <f t="shared" si="254"/>
        <v>0.20318962895377127</v>
      </c>
      <c r="Q161" s="223">
        <f t="shared" si="255"/>
        <v>24</v>
      </c>
      <c r="R161" s="223"/>
      <c r="S161" s="178">
        <f t="shared" si="256"/>
        <v>112.79395129920252</v>
      </c>
      <c r="T161" s="178">
        <f t="shared" si="257"/>
        <v>24</v>
      </c>
      <c r="U161" s="223">
        <f t="shared" si="258"/>
        <v>0.40034031470428649</v>
      </c>
      <c r="V161" s="223">
        <f t="shared" si="259"/>
        <v>1.8815994791101465</v>
      </c>
      <c r="W161" s="223">
        <f t="shared" si="260"/>
        <v>0.77591731097325622</v>
      </c>
      <c r="X161" s="203">
        <f t="shared" si="261"/>
        <v>350</v>
      </c>
      <c r="Y161" s="454">
        <f t="shared" si="203"/>
        <v>350</v>
      </c>
      <c r="AA161" s="223">
        <f t="shared" si="262"/>
        <v>0.43041288576309544</v>
      </c>
      <c r="AB161" s="179">
        <f t="shared" si="263"/>
        <v>0.83420229405630864</v>
      </c>
      <c r="AC161" s="179">
        <f t="shared" si="264"/>
        <v>6.2833997921619769E-2</v>
      </c>
      <c r="AD161" s="179"/>
      <c r="AE161" s="179">
        <f t="shared" si="265"/>
        <v>0.56206185567010303</v>
      </c>
      <c r="AF161" s="563">
        <f t="shared" si="266"/>
        <v>688.35226554001076</v>
      </c>
      <c r="AG161" s="546">
        <f t="shared" si="267"/>
        <v>2.8524639175257726E-2</v>
      </c>
      <c r="AI161" s="179">
        <f t="shared" si="268"/>
        <v>0.40669548289287794</v>
      </c>
      <c r="AJ161" s="179">
        <f t="shared" si="269"/>
        <v>0.40669548289287794</v>
      </c>
      <c r="AK161" s="179">
        <f t="shared" si="270"/>
        <v>1.2864410984391688</v>
      </c>
      <c r="AM161" s="563">
        <f t="shared" si="271"/>
        <v>56.1</v>
      </c>
      <c r="AN161" s="472">
        <f t="shared" si="272"/>
        <v>350</v>
      </c>
      <c r="AP161">
        <f t="shared" si="273"/>
        <v>56.1</v>
      </c>
      <c r="AQ161">
        <f t="shared" si="274"/>
        <v>350</v>
      </c>
      <c r="AS161" s="6">
        <f t="shared" si="245"/>
        <v>2.8571428571428572</v>
      </c>
      <c r="AT161" s="6">
        <f t="shared" si="275"/>
        <v>1.9114687695965262</v>
      </c>
      <c r="AU161" s="6">
        <f t="shared" si="218"/>
        <v>0.94567408754633098</v>
      </c>
      <c r="AV161" s="6"/>
      <c r="AW161" s="179">
        <f t="shared" si="219"/>
        <v>0.66901406935878416</v>
      </c>
      <c r="AX161" s="179">
        <f t="shared" si="241"/>
        <v>1.3604250000000004</v>
      </c>
      <c r="AY161" s="179">
        <f t="shared" si="242"/>
        <v>6.7305241446438943E-2</v>
      </c>
      <c r="AZ161" s="179">
        <f t="shared" si="246"/>
        <v>20.212764574696866</v>
      </c>
      <c r="BD161" s="179">
        <f t="shared" si="247"/>
        <v>0.19205532229274347</v>
      </c>
      <c r="BE161" s="179">
        <f t="shared" si="243"/>
        <v>0.13508697857622751</v>
      </c>
      <c r="BG161" s="546">
        <f t="shared" si="220"/>
        <v>1.2909836387339347E-2</v>
      </c>
      <c r="BH161" s="546">
        <f t="shared" si="221"/>
        <v>3.6564465758837802E-2</v>
      </c>
      <c r="BI161" s="546">
        <f t="shared" si="222"/>
        <v>4.3749999999999995E-3</v>
      </c>
      <c r="BJ161" s="546">
        <f t="shared" si="223"/>
        <v>2.0528593750000001E-2</v>
      </c>
      <c r="BK161">
        <f t="shared" si="224"/>
        <v>2.8999999999999998E-3</v>
      </c>
      <c r="BM161" s="472">
        <f t="shared" si="225"/>
        <v>77.277895896177142</v>
      </c>
      <c r="BN161" s="546">
        <f t="shared" si="226"/>
        <v>1.6830000000000001E-2</v>
      </c>
      <c r="BQ161" s="472">
        <f t="shared" si="227"/>
        <v>16.830000000000002</v>
      </c>
      <c r="BR161" s="546">
        <f t="shared" si="228"/>
        <v>7.3770493641939138E-3</v>
      </c>
      <c r="BS161" s="546">
        <f t="shared" si="229"/>
        <v>3.6496983561708305E-3</v>
      </c>
      <c r="BT161" s="546">
        <f t="shared" si="230"/>
        <v>1.2086859871911198E-2</v>
      </c>
      <c r="BU161" s="546"/>
      <c r="BV161" s="546">
        <f t="shared" si="231"/>
        <v>1.0709728723404258E-2</v>
      </c>
      <c r="BW161" s="472">
        <f t="shared" si="232"/>
        <v>33.823336315680201</v>
      </c>
      <c r="BX161" s="179">
        <f t="shared" si="233"/>
        <v>0.12793123221185734</v>
      </c>
      <c r="BY161" s="6">
        <f t="shared" si="234"/>
        <v>1.3464</v>
      </c>
      <c r="BZ161" s="179">
        <f t="shared" si="235"/>
        <v>0.91322761845048273</v>
      </c>
      <c r="CA161" s="6">
        <f t="shared" si="236"/>
        <v>91.322761845048277</v>
      </c>
      <c r="CD161" s="581">
        <f t="shared" si="276"/>
        <v>-50</v>
      </c>
      <c r="CE161">
        <f t="shared" si="277"/>
        <v>-50</v>
      </c>
    </row>
    <row r="162" spans="5:83" x14ac:dyDescent="0.2">
      <c r="E162" s="176">
        <v>52</v>
      </c>
      <c r="F162" s="223">
        <f t="shared" si="278"/>
        <v>5.7200000000000001E-2</v>
      </c>
      <c r="G162" s="223"/>
      <c r="H162" s="223">
        <f t="shared" si="248"/>
        <v>1.3728</v>
      </c>
      <c r="I162" s="559">
        <f t="shared" si="249"/>
        <v>10</v>
      </c>
      <c r="J162" s="454">
        <f t="shared" si="250"/>
        <v>24.25</v>
      </c>
      <c r="K162" s="454">
        <f t="shared" si="251"/>
        <v>34.25</v>
      </c>
      <c r="L162" s="454"/>
      <c r="M162" s="223">
        <f t="shared" si="252"/>
        <v>0.70802919708029199</v>
      </c>
      <c r="N162" s="178">
        <f t="shared" si="253"/>
        <v>4.8765510948905106</v>
      </c>
      <c r="O162" s="178">
        <f t="shared" si="244"/>
        <v>1.3728</v>
      </c>
      <c r="P162" s="223">
        <f t="shared" si="254"/>
        <v>0.20318962895377127</v>
      </c>
      <c r="Q162" s="223">
        <f t="shared" si="255"/>
        <v>24</v>
      </c>
      <c r="R162" s="223"/>
      <c r="S162" s="178">
        <f t="shared" si="256"/>
        <v>110.43342610170329</v>
      </c>
      <c r="T162" s="178">
        <f t="shared" si="257"/>
        <v>24</v>
      </c>
      <c r="U162" s="223">
        <f t="shared" si="258"/>
        <v>0.40819012479652739</v>
      </c>
      <c r="V162" s="223">
        <f t="shared" si="259"/>
        <v>1.9184935865436787</v>
      </c>
      <c r="W162" s="223">
        <f t="shared" si="260"/>
        <v>0.79113137589430049</v>
      </c>
      <c r="X162" s="203">
        <f t="shared" si="261"/>
        <v>350</v>
      </c>
      <c r="Y162" s="454">
        <f t="shared" si="203"/>
        <v>350</v>
      </c>
      <c r="AA162" s="223">
        <f t="shared" si="262"/>
        <v>0.43041288576309544</v>
      </c>
      <c r="AB162" s="179">
        <f t="shared" si="263"/>
        <v>0.83420229405630864</v>
      </c>
      <c r="AC162" s="179">
        <f t="shared" si="264"/>
        <v>6.2833997921619769E-2</v>
      </c>
      <c r="AD162" s="179"/>
      <c r="AE162" s="179">
        <f t="shared" si="265"/>
        <v>0.56206185567010303</v>
      </c>
      <c r="AF162" s="563">
        <f t="shared" si="266"/>
        <v>701.84936878589326</v>
      </c>
      <c r="AG162" s="546">
        <f t="shared" si="267"/>
        <v>2.8524639175257726E-2</v>
      </c>
      <c r="AI162" s="179">
        <f t="shared" si="268"/>
        <v>0.41066333766200275</v>
      </c>
      <c r="AJ162" s="179">
        <f t="shared" si="269"/>
        <v>0.41066333766200275</v>
      </c>
      <c r="AK162" s="179">
        <f t="shared" si="270"/>
        <v>1.289380250120002</v>
      </c>
      <c r="AM162" s="563">
        <f t="shared" si="271"/>
        <v>57.2</v>
      </c>
      <c r="AN162" s="472">
        <f t="shared" si="272"/>
        <v>350</v>
      </c>
      <c r="AP162">
        <f t="shared" si="273"/>
        <v>57.2</v>
      </c>
      <c r="AQ162">
        <f t="shared" si="274"/>
        <v>350</v>
      </c>
      <c r="AS162" s="6">
        <f t="shared" si="245"/>
        <v>2.8571428571428572</v>
      </c>
      <c r="AT162" s="6">
        <f t="shared" si="275"/>
        <v>1.9301176870114127</v>
      </c>
      <c r="AU162" s="6">
        <f t="shared" si="218"/>
        <v>0.92702517013144448</v>
      </c>
      <c r="AV162" s="6"/>
      <c r="AW162" s="179">
        <f t="shared" si="219"/>
        <v>0.67554119045399441</v>
      </c>
      <c r="AX162" s="179">
        <f t="shared" si="241"/>
        <v>1.3871</v>
      </c>
      <c r="AY162" s="179">
        <f t="shared" si="242"/>
        <v>6.662166883100136E-2</v>
      </c>
      <c r="AZ162" s="179">
        <f t="shared" si="246"/>
        <v>20.820553197468605</v>
      </c>
      <c r="BD162" s="179">
        <f t="shared" si="247"/>
        <v>0.19487279879808161</v>
      </c>
      <c r="BE162" s="179">
        <f t="shared" si="243"/>
        <v>0.13505326574541279</v>
      </c>
      <c r="BG162" s="546">
        <f t="shared" si="220"/>
        <v>1.3291392698989157E-2</v>
      </c>
      <c r="BH162" s="546">
        <f t="shared" si="221"/>
        <v>3.6921200701674435E-2</v>
      </c>
      <c r="BI162" s="546">
        <f t="shared" si="222"/>
        <v>4.3749999999999995E-3</v>
      </c>
      <c r="BJ162" s="546">
        <f t="shared" si="223"/>
        <v>2.0528593750000001E-2</v>
      </c>
      <c r="BK162">
        <f t="shared" si="224"/>
        <v>2.8999999999999998E-3</v>
      </c>
      <c r="BM162" s="472">
        <f t="shared" si="225"/>
        <v>78.016187150663598</v>
      </c>
      <c r="BN162" s="546">
        <f t="shared" si="226"/>
        <v>1.7159999999999998E-2</v>
      </c>
      <c r="BQ162" s="472">
        <f t="shared" si="227"/>
        <v>17.159999999999997</v>
      </c>
      <c r="BR162" s="546">
        <f t="shared" si="228"/>
        <v>7.59508154227952E-3</v>
      </c>
      <c r="BS162" s="546">
        <f t="shared" si="229"/>
        <v>3.6478769177002179E-3</v>
      </c>
      <c r="BT162" s="546">
        <f t="shared" si="230"/>
        <v>1.2383829002843396E-2</v>
      </c>
      <c r="BU162" s="546"/>
      <c r="BV162" s="546">
        <f t="shared" si="231"/>
        <v>1.0919723404255321E-2</v>
      </c>
      <c r="BW162" s="472">
        <f t="shared" si="232"/>
        <v>34.546510867078453</v>
      </c>
      <c r="BX162" s="179">
        <f t="shared" si="233"/>
        <v>0.12972269801774203</v>
      </c>
      <c r="BY162" s="6">
        <f t="shared" si="234"/>
        <v>1.3728</v>
      </c>
      <c r="BZ162" s="179">
        <f t="shared" si="235"/>
        <v>0.91366340209776309</v>
      </c>
      <c r="CA162" s="6">
        <f t="shared" si="236"/>
        <v>91.366340209776311</v>
      </c>
      <c r="CD162" s="581">
        <f t="shared" si="276"/>
        <v>-50</v>
      </c>
      <c r="CE162">
        <f t="shared" si="277"/>
        <v>-50</v>
      </c>
    </row>
    <row r="163" spans="5:83" x14ac:dyDescent="0.2">
      <c r="E163" s="176">
        <v>53</v>
      </c>
      <c r="F163" s="223">
        <f t="shared" si="278"/>
        <v>5.8300000000000005E-2</v>
      </c>
      <c r="G163" s="223"/>
      <c r="H163" s="223">
        <f t="shared" si="248"/>
        <v>1.3992</v>
      </c>
      <c r="I163" s="559">
        <f t="shared" si="249"/>
        <v>10</v>
      </c>
      <c r="J163" s="454">
        <f t="shared" si="250"/>
        <v>24.25</v>
      </c>
      <c r="K163" s="454">
        <f t="shared" si="251"/>
        <v>34.25</v>
      </c>
      <c r="L163" s="454"/>
      <c r="M163" s="223">
        <f t="shared" si="252"/>
        <v>0.70802919708029199</v>
      </c>
      <c r="N163" s="178">
        <f t="shared" si="253"/>
        <v>4.8765510948905106</v>
      </c>
      <c r="O163" s="178">
        <f t="shared" si="244"/>
        <v>1.3992</v>
      </c>
      <c r="P163" s="223">
        <f t="shared" si="254"/>
        <v>0.20318962895377127</v>
      </c>
      <c r="Q163" s="223">
        <f t="shared" si="255"/>
        <v>24</v>
      </c>
      <c r="R163" s="223"/>
      <c r="S163" s="178">
        <f t="shared" si="256"/>
        <v>108.16199671370207</v>
      </c>
      <c r="T163" s="178">
        <f t="shared" si="257"/>
        <v>24</v>
      </c>
      <c r="U163" s="223">
        <f t="shared" si="258"/>
        <v>0.41603993488876828</v>
      </c>
      <c r="V163" s="223">
        <f t="shared" si="259"/>
        <v>1.955387693977211</v>
      </c>
      <c r="W163" s="223">
        <f t="shared" si="260"/>
        <v>0.80634544081534465</v>
      </c>
      <c r="X163" s="203">
        <f t="shared" si="261"/>
        <v>350</v>
      </c>
      <c r="Y163" s="454">
        <f t="shared" si="203"/>
        <v>350</v>
      </c>
      <c r="AA163" s="223">
        <f t="shared" si="262"/>
        <v>0.43041288576309544</v>
      </c>
      <c r="AB163" s="179">
        <f t="shared" si="263"/>
        <v>0.83420229405630864</v>
      </c>
      <c r="AC163" s="179">
        <f t="shared" si="264"/>
        <v>6.2833997921619769E-2</v>
      </c>
      <c r="AD163" s="179"/>
      <c r="AE163" s="179">
        <f t="shared" si="265"/>
        <v>0.56206185567010303</v>
      </c>
      <c r="AF163" s="563">
        <f t="shared" si="266"/>
        <v>715.34647203177599</v>
      </c>
      <c r="AG163" s="546">
        <f t="shared" si="267"/>
        <v>2.8524639175257726E-2</v>
      </c>
      <c r="AI163" s="179">
        <f t="shared" si="268"/>
        <v>0.41459321990828674</v>
      </c>
      <c r="AJ163" s="179">
        <f t="shared" si="269"/>
        <v>0.41459321990828674</v>
      </c>
      <c r="AK163" s="179">
        <f t="shared" si="270"/>
        <v>1.2922912740061383</v>
      </c>
      <c r="AM163" s="563">
        <f t="shared" si="271"/>
        <v>58.300000000000004</v>
      </c>
      <c r="AN163" s="472">
        <f t="shared" si="272"/>
        <v>350</v>
      </c>
      <c r="AP163">
        <f t="shared" si="273"/>
        <v>58.300000000000004</v>
      </c>
      <c r="AQ163">
        <f t="shared" si="274"/>
        <v>350</v>
      </c>
      <c r="AS163" s="6">
        <f t="shared" si="245"/>
        <v>2.8571428571428572</v>
      </c>
      <c r="AT163" s="6">
        <f t="shared" si="275"/>
        <v>1.9485881335689472</v>
      </c>
      <c r="AU163" s="6">
        <f t="shared" si="218"/>
        <v>0.90855472357390998</v>
      </c>
      <c r="AV163" s="6"/>
      <c r="AW163" s="179">
        <f t="shared" si="219"/>
        <v>0.68200584674913156</v>
      </c>
      <c r="AX163" s="179">
        <f t="shared" si="241"/>
        <v>1.4137750000000002</v>
      </c>
      <c r="AY163" s="179">
        <f t="shared" si="242"/>
        <v>6.5919109954143365E-2</v>
      </c>
      <c r="AZ163" s="179">
        <f t="shared" si="246"/>
        <v>21.447119067346222</v>
      </c>
      <c r="BD163" s="179">
        <f t="shared" si="247"/>
        <v>0.19767676131770237</v>
      </c>
      <c r="BE163" s="179">
        <f t="shared" si="243"/>
        <v>0.13498053205154362</v>
      </c>
      <c r="BG163" s="546">
        <f t="shared" si="220"/>
        <v>1.3676635687769554E-2</v>
      </c>
      <c r="BH163" s="546">
        <f t="shared" si="221"/>
        <v>3.7274521677379407E-2</v>
      </c>
      <c r="BI163" s="546">
        <f t="shared" si="222"/>
        <v>4.3749999999999995E-3</v>
      </c>
      <c r="BJ163" s="546">
        <f t="shared" si="223"/>
        <v>2.0528593750000001E-2</v>
      </c>
      <c r="BK163">
        <f t="shared" si="224"/>
        <v>2.8999999999999998E-3</v>
      </c>
      <c r="BM163" s="472">
        <f t="shared" si="225"/>
        <v>78.754751115148963</v>
      </c>
      <c r="BN163" s="546">
        <f t="shared" si="226"/>
        <v>1.7490000000000002E-2</v>
      </c>
      <c r="BQ163" s="472">
        <f t="shared" si="227"/>
        <v>17.490000000000002</v>
      </c>
      <c r="BR163" s="546">
        <f t="shared" si="228"/>
        <v>7.8152203930111751E-3</v>
      </c>
      <c r="BS163" s="546">
        <f t="shared" si="229"/>
        <v>3.6439488065835588E-3</v>
      </c>
      <c r="BT163" s="546">
        <f t="shared" si="230"/>
        <v>1.2682229384929463E-2</v>
      </c>
      <c r="BU163" s="546"/>
      <c r="BV163" s="546">
        <f t="shared" si="231"/>
        <v>1.1129718085106386E-2</v>
      </c>
      <c r="BW163" s="472">
        <f t="shared" si="232"/>
        <v>35.271116669630587</v>
      </c>
      <c r="BX163" s="179">
        <f t="shared" si="233"/>
        <v>0.13151586778477956</v>
      </c>
      <c r="BY163" s="6">
        <f t="shared" si="234"/>
        <v>1.3992</v>
      </c>
      <c r="BZ163" s="179">
        <f t="shared" si="235"/>
        <v>0.91408211637924242</v>
      </c>
      <c r="CA163" s="6">
        <f t="shared" si="236"/>
        <v>91.408211637924239</v>
      </c>
      <c r="CD163" s="581">
        <f t="shared" si="276"/>
        <v>-50</v>
      </c>
      <c r="CE163">
        <f t="shared" si="277"/>
        <v>-50</v>
      </c>
    </row>
    <row r="164" spans="5:83" x14ac:dyDescent="0.2">
      <c r="E164" s="176">
        <v>54</v>
      </c>
      <c r="F164" s="223">
        <f t="shared" si="278"/>
        <v>5.9400000000000001E-2</v>
      </c>
      <c r="G164" s="223"/>
      <c r="H164" s="223">
        <f t="shared" si="248"/>
        <v>1.4256</v>
      </c>
      <c r="I164" s="559">
        <f t="shared" si="249"/>
        <v>10</v>
      </c>
      <c r="J164" s="454">
        <f t="shared" si="250"/>
        <v>24.25</v>
      </c>
      <c r="K164" s="454">
        <f t="shared" si="251"/>
        <v>34.25</v>
      </c>
      <c r="L164" s="454"/>
      <c r="M164" s="223">
        <f t="shared" si="252"/>
        <v>0.70802919708029199</v>
      </c>
      <c r="N164" s="178">
        <f t="shared" si="253"/>
        <v>4.8765510948905106</v>
      </c>
      <c r="O164" s="178">
        <f t="shared" si="244"/>
        <v>1.4256</v>
      </c>
      <c r="P164" s="223">
        <f t="shared" si="254"/>
        <v>0.20318962895377127</v>
      </c>
      <c r="Q164" s="223">
        <f t="shared" si="255"/>
        <v>24</v>
      </c>
      <c r="R164" s="223"/>
      <c r="S164" s="178">
        <f t="shared" si="256"/>
        <v>105.97471346406267</v>
      </c>
      <c r="T164" s="178">
        <f t="shared" si="257"/>
        <v>24</v>
      </c>
      <c r="U164" s="223">
        <f t="shared" si="258"/>
        <v>0.42388974498100918</v>
      </c>
      <c r="V164" s="223">
        <f t="shared" si="259"/>
        <v>1.9922818014107431</v>
      </c>
      <c r="W164" s="223">
        <f t="shared" si="260"/>
        <v>0.82155950573638881</v>
      </c>
      <c r="X164" s="203">
        <f t="shared" si="261"/>
        <v>350</v>
      </c>
      <c r="Y164" s="454">
        <f t="shared" si="203"/>
        <v>350</v>
      </c>
      <c r="AA164" s="223">
        <f t="shared" si="262"/>
        <v>0.43041288576309544</v>
      </c>
      <c r="AB164" s="179">
        <f t="shared" si="263"/>
        <v>0.83420229405630864</v>
      </c>
      <c r="AC164" s="179">
        <f t="shared" si="264"/>
        <v>6.2833997921619769E-2</v>
      </c>
      <c r="AD164" s="179"/>
      <c r="AE164" s="179">
        <f t="shared" si="265"/>
        <v>0.56206185567010303</v>
      </c>
      <c r="AF164" s="563">
        <f t="shared" si="266"/>
        <v>728.84357527765849</v>
      </c>
      <c r="AG164" s="546">
        <f t="shared" si="267"/>
        <v>2.8524639175257726E-2</v>
      </c>
      <c r="AI164" s="179">
        <f t="shared" si="268"/>
        <v>0.41848619939986781</v>
      </c>
      <c r="AJ164" s="179">
        <f t="shared" si="269"/>
        <v>0.41848619939986781</v>
      </c>
      <c r="AK164" s="179">
        <f t="shared" si="270"/>
        <v>1.2951749625184206</v>
      </c>
      <c r="AM164" s="563">
        <f t="shared" si="271"/>
        <v>59.4</v>
      </c>
      <c r="AN164" s="472">
        <f t="shared" si="272"/>
        <v>350</v>
      </c>
      <c r="AP164">
        <f t="shared" si="273"/>
        <v>59.4</v>
      </c>
      <c r="AQ164">
        <f t="shared" si="274"/>
        <v>350</v>
      </c>
      <c r="AS164" s="6">
        <f t="shared" si="245"/>
        <v>2.8571428571428572</v>
      </c>
      <c r="AT164" s="6">
        <f t="shared" si="275"/>
        <v>1.9668851371793787</v>
      </c>
      <c r="AU164" s="6">
        <f t="shared" si="218"/>
        <v>0.89025771996347847</v>
      </c>
      <c r="AV164" s="6"/>
      <c r="AW164" s="179">
        <f t="shared" si="219"/>
        <v>0.68840979801278257</v>
      </c>
      <c r="AX164" s="179">
        <f t="shared" si="241"/>
        <v>1.44045</v>
      </c>
      <c r="AY164" s="179">
        <f t="shared" si="242"/>
        <v>6.5198099699933884E-2</v>
      </c>
      <c r="AZ164" s="179">
        <f t="shared" si="246"/>
        <v>22.093435339825721</v>
      </c>
      <c r="BD164" s="179">
        <f t="shared" si="247"/>
        <v>0.20046752786516153</v>
      </c>
      <c r="BE164" s="179">
        <f t="shared" si="243"/>
        <v>0.1348690845512022</v>
      </c>
      <c r="BG164" s="546">
        <f t="shared" si="220"/>
        <v>1.4065530404929258E-2</v>
      </c>
      <c r="BH164" s="546">
        <f t="shared" si="221"/>
        <v>3.7624524864794368E-2</v>
      </c>
      <c r="BI164" s="546">
        <f t="shared" si="222"/>
        <v>4.3749999999999995E-3</v>
      </c>
      <c r="BJ164" s="546">
        <f t="shared" si="223"/>
        <v>2.0528593750000001E-2</v>
      </c>
      <c r="BK164">
        <f t="shared" si="224"/>
        <v>2.8999999999999998E-3</v>
      </c>
      <c r="BM164" s="472">
        <f t="shared" si="225"/>
        <v>79.49364901972362</v>
      </c>
      <c r="BN164" s="546">
        <f t="shared" si="226"/>
        <v>1.7819999999999999E-2</v>
      </c>
      <c r="BQ164" s="472">
        <f t="shared" si="227"/>
        <v>17.82</v>
      </c>
      <c r="BR164" s="546">
        <f t="shared" si="228"/>
        <v>8.0374459456738628E-3</v>
      </c>
      <c r="BS164" s="546">
        <f t="shared" si="229"/>
        <v>3.6379339935358659E-3</v>
      </c>
      <c r="BT164" s="546">
        <f t="shared" si="230"/>
        <v>1.2982040714334151E-2</v>
      </c>
      <c r="BU164" s="546"/>
      <c r="BV164" s="546">
        <f t="shared" si="231"/>
        <v>1.1339712765957449E-2</v>
      </c>
      <c r="BW164" s="472">
        <f t="shared" si="232"/>
        <v>35.997133419501324</v>
      </c>
      <c r="BX164" s="179">
        <f t="shared" si="233"/>
        <v>0.13331078243922495</v>
      </c>
      <c r="BY164" s="6">
        <f t="shared" si="234"/>
        <v>1.4256</v>
      </c>
      <c r="BZ164" s="179">
        <f t="shared" si="235"/>
        <v>0.91448466202111078</v>
      </c>
      <c r="CA164" s="6">
        <f t="shared" si="236"/>
        <v>91.448466202111078</v>
      </c>
      <c r="CD164" s="581">
        <f t="shared" si="276"/>
        <v>-50</v>
      </c>
      <c r="CE164">
        <f t="shared" si="277"/>
        <v>-50</v>
      </c>
    </row>
    <row r="165" spans="5:83" x14ac:dyDescent="0.2">
      <c r="E165" s="176">
        <v>55</v>
      </c>
      <c r="F165" s="223">
        <f t="shared" si="278"/>
        <v>6.0500000000000005E-2</v>
      </c>
      <c r="G165" s="223"/>
      <c r="H165" s="223">
        <f t="shared" si="248"/>
        <v>1.4520000000000002</v>
      </c>
      <c r="I165" s="559">
        <f t="shared" si="249"/>
        <v>10</v>
      </c>
      <c r="J165" s="454">
        <f t="shared" si="250"/>
        <v>24.25</v>
      </c>
      <c r="K165" s="454">
        <f t="shared" si="251"/>
        <v>34.25</v>
      </c>
      <c r="L165" s="454"/>
      <c r="M165" s="223">
        <f t="shared" si="252"/>
        <v>0.70802919708029199</v>
      </c>
      <c r="N165" s="178">
        <f t="shared" si="253"/>
        <v>4.8765510948905106</v>
      </c>
      <c r="O165" s="178">
        <f t="shared" si="244"/>
        <v>1.4520000000000002</v>
      </c>
      <c r="P165" s="223">
        <f t="shared" si="254"/>
        <v>0.20318962895377127</v>
      </c>
      <c r="Q165" s="223">
        <f t="shared" si="255"/>
        <v>24</v>
      </c>
      <c r="R165" s="223"/>
      <c r="S165" s="178">
        <f t="shared" si="256"/>
        <v>103.86698665834713</v>
      </c>
      <c r="T165" s="178">
        <f t="shared" si="257"/>
        <v>24</v>
      </c>
      <c r="U165" s="223">
        <f t="shared" si="258"/>
        <v>0.43173955507325018</v>
      </c>
      <c r="V165" s="223">
        <f t="shared" si="259"/>
        <v>2.0291759088442758</v>
      </c>
      <c r="W165" s="223">
        <f t="shared" si="260"/>
        <v>0.8367735706574333</v>
      </c>
      <c r="X165" s="203">
        <f t="shared" si="261"/>
        <v>350</v>
      </c>
      <c r="Y165" s="454">
        <f t="shared" si="203"/>
        <v>348.92450378220411</v>
      </c>
      <c r="AA165" s="223">
        <f t="shared" si="262"/>
        <v>0.43041288576309544</v>
      </c>
      <c r="AB165" s="179">
        <f t="shared" si="263"/>
        <v>0.83420229405630864</v>
      </c>
      <c r="AC165" s="179">
        <f t="shared" si="264"/>
        <v>6.2833997921619769E-2</v>
      </c>
      <c r="AD165" s="179"/>
      <c r="AE165" s="179">
        <f t="shared" si="265"/>
        <v>0.56206185567010303</v>
      </c>
      <c r="AF165" s="563">
        <f t="shared" si="266"/>
        <v>742.3406785235411</v>
      </c>
      <c r="AG165" s="546">
        <f t="shared" si="267"/>
        <v>2.8524639175257726E-2</v>
      </c>
      <c r="AI165" s="179">
        <f t="shared" si="268"/>
        <v>0.4223432965993078</v>
      </c>
      <c r="AJ165" s="179">
        <f t="shared" si="269"/>
        <v>0.4223432965993078</v>
      </c>
      <c r="AK165" s="179">
        <f t="shared" si="270"/>
        <v>1.2980320715550429</v>
      </c>
      <c r="AM165" s="563">
        <f t="shared" si="271"/>
        <v>60.500000000000007</v>
      </c>
      <c r="AN165" s="472">
        <f t="shared" si="272"/>
        <v>348.92450378220411</v>
      </c>
      <c r="AP165">
        <f t="shared" si="273"/>
        <v>60.500000000000007</v>
      </c>
      <c r="AQ165">
        <f t="shared" si="274"/>
        <v>348.92450378220411</v>
      </c>
      <c r="AS165" s="6">
        <f t="shared" si="245"/>
        <v>2.8659494795017091</v>
      </c>
      <c r="AT165" s="6">
        <f t="shared" si="275"/>
        <v>1.9850134940167468</v>
      </c>
      <c r="AU165" s="6">
        <f t="shared" si="218"/>
        <v>0.88093598548496233</v>
      </c>
      <c r="AV165" s="6"/>
      <c r="AW165" s="179">
        <f t="shared" si="219"/>
        <v>0.69261984840077251</v>
      </c>
      <c r="AX165" s="179">
        <f t="shared" si="241"/>
        <v>1.4626167503184755</v>
      </c>
      <c r="AY165" s="179">
        <f t="shared" si="242"/>
        <v>6.490997326780637E-2</v>
      </c>
      <c r="AZ165" s="179">
        <f t="shared" si="246"/>
        <v>22.533004971115812</v>
      </c>
      <c r="BD165" s="179">
        <f t="shared" si="247"/>
        <v>0.20293289202605405</v>
      </c>
      <c r="BE165" s="179">
        <f t="shared" si="243"/>
        <v>0.13518947713511406</v>
      </c>
      <c r="BG165" s="546">
        <f t="shared" si="220"/>
        <v>1.4413615533120337E-2</v>
      </c>
      <c r="BH165" s="546">
        <f t="shared" si="221"/>
        <v>3.7854622033606053E-2</v>
      </c>
      <c r="BI165" s="546">
        <f t="shared" si="222"/>
        <v>4.3615562972775515E-3</v>
      </c>
      <c r="BJ165" s="546">
        <f t="shared" si="223"/>
        <v>2.0465512535900589E-2</v>
      </c>
      <c r="BK165">
        <f t="shared" si="224"/>
        <v>2.8999999999999998E-3</v>
      </c>
      <c r="BM165" s="472">
        <f t="shared" si="225"/>
        <v>79.995306399904521</v>
      </c>
      <c r="BN165" s="546">
        <f t="shared" si="226"/>
        <v>1.8149999999999999E-2</v>
      </c>
      <c r="BQ165" s="472">
        <f t="shared" si="227"/>
        <v>18.149999999999999</v>
      </c>
      <c r="BR165" s="546">
        <f t="shared" si="228"/>
        <v>8.2363517332116228E-3</v>
      </c>
      <c r="BS165" s="546">
        <f t="shared" si="229"/>
        <v>3.6552389456131055E-3</v>
      </c>
      <c r="BT165" s="546">
        <f t="shared" si="230"/>
        <v>1.3181434985033207E-2</v>
      </c>
      <c r="BU165" s="546"/>
      <c r="BV165" s="546">
        <f t="shared" si="231"/>
        <v>1.1514216970592255E-2</v>
      </c>
      <c r="BW165" s="472">
        <f t="shared" si="232"/>
        <v>36.587242634450185</v>
      </c>
      <c r="BX165" s="179">
        <f t="shared" si="233"/>
        <v>0.13473254903435472</v>
      </c>
      <c r="BY165" s="6">
        <f t="shared" si="234"/>
        <v>1.4520000000000002</v>
      </c>
      <c r="BZ165" s="179">
        <f t="shared" si="235"/>
        <v>0.91508805367587021</v>
      </c>
      <c r="CA165" s="6">
        <f t="shared" si="236"/>
        <v>91.508805367587016</v>
      </c>
      <c r="CD165" s="581">
        <f t="shared" si="276"/>
        <v>-50</v>
      </c>
      <c r="CE165">
        <f t="shared" si="277"/>
        <v>-50</v>
      </c>
    </row>
    <row r="166" spans="5:83" x14ac:dyDescent="0.2">
      <c r="E166" s="176">
        <v>56</v>
      </c>
      <c r="F166" s="223">
        <f t="shared" si="278"/>
        <v>6.1600000000000009E-2</v>
      </c>
      <c r="G166" s="223"/>
      <c r="H166" s="223">
        <f t="shared" si="248"/>
        <v>1.4784000000000002</v>
      </c>
      <c r="I166" s="559">
        <f t="shared" si="249"/>
        <v>10</v>
      </c>
      <c r="J166" s="454">
        <f t="shared" si="250"/>
        <v>24.25</v>
      </c>
      <c r="K166" s="454">
        <f t="shared" si="251"/>
        <v>34.25</v>
      </c>
      <c r="L166" s="454"/>
      <c r="M166" s="223">
        <f t="shared" si="252"/>
        <v>0.70802919708029199</v>
      </c>
      <c r="N166" s="178">
        <f t="shared" si="253"/>
        <v>4.8765510948905106</v>
      </c>
      <c r="O166" s="178">
        <f t="shared" si="244"/>
        <v>1.4784000000000002</v>
      </c>
      <c r="P166" s="223">
        <f t="shared" si="254"/>
        <v>0.20318962895377127</v>
      </c>
      <c r="Q166" s="223">
        <f t="shared" si="255"/>
        <v>24</v>
      </c>
      <c r="R166" s="223"/>
      <c r="S166" s="178">
        <f t="shared" si="256"/>
        <v>101.83455443804371</v>
      </c>
      <c r="T166" s="178">
        <f t="shared" si="257"/>
        <v>24</v>
      </c>
      <c r="U166" s="223">
        <f t="shared" si="258"/>
        <v>0.43958936516549107</v>
      </c>
      <c r="V166" s="223">
        <f t="shared" si="259"/>
        <v>2.0660700162778078</v>
      </c>
      <c r="W166" s="223">
        <f t="shared" si="260"/>
        <v>0.85198763557847756</v>
      </c>
      <c r="X166" s="203">
        <f t="shared" si="261"/>
        <v>350</v>
      </c>
      <c r="Y166" s="454">
        <f t="shared" si="203"/>
        <v>342.69370907180763</v>
      </c>
      <c r="AA166" s="223">
        <f t="shared" si="262"/>
        <v>0.43041288576309544</v>
      </c>
      <c r="AB166" s="179">
        <f t="shared" si="263"/>
        <v>0.83420229405630864</v>
      </c>
      <c r="AC166" s="179">
        <f t="shared" si="264"/>
        <v>6.2833997921619769E-2</v>
      </c>
      <c r="AD166" s="179"/>
      <c r="AE166" s="179">
        <f t="shared" si="265"/>
        <v>0.56206185567010303</v>
      </c>
      <c r="AF166" s="563">
        <f t="shared" si="266"/>
        <v>755.83778176942371</v>
      </c>
      <c r="AG166" s="546">
        <f t="shared" si="267"/>
        <v>2.8524639175257726E-2</v>
      </c>
      <c r="AI166" s="179">
        <f t="shared" si="268"/>
        <v>0.42616548578761726</v>
      </c>
      <c r="AJ166" s="179">
        <f t="shared" si="269"/>
        <v>0.42616548578761726</v>
      </c>
      <c r="AK166" s="179">
        <f t="shared" si="270"/>
        <v>1.3008633228056423</v>
      </c>
      <c r="AM166" s="563">
        <f t="shared" si="271"/>
        <v>61.600000000000009</v>
      </c>
      <c r="AN166" s="472">
        <f t="shared" si="272"/>
        <v>342.69370907180763</v>
      </c>
      <c r="AP166">
        <f t="shared" si="273"/>
        <v>61.600000000000009</v>
      </c>
      <c r="AQ166">
        <f t="shared" si="274"/>
        <v>342.69370907180763</v>
      </c>
      <c r="AS166" s="6">
        <f t="shared" si="245"/>
        <v>2.9180576518562855</v>
      </c>
      <c r="AT166" s="6">
        <f t="shared" si="275"/>
        <v>2.0029777832018012</v>
      </c>
      <c r="AU166" s="6">
        <f t="shared" si="218"/>
        <v>0.91507986865448432</v>
      </c>
      <c r="AV166" s="6"/>
      <c r="AW166" s="179">
        <f t="shared" si="219"/>
        <v>0.68640788571385225</v>
      </c>
      <c r="AX166" s="179">
        <f t="shared" si="241"/>
        <v>1.4626167503184755</v>
      </c>
      <c r="AY166" s="179">
        <f t="shared" si="242"/>
        <v>6.682106786196107E-2</v>
      </c>
      <c r="AZ166" s="179">
        <f t="shared" si="246"/>
        <v>21.888556964398539</v>
      </c>
      <c r="BD166" s="179">
        <f t="shared" si="247"/>
        <v>0.20384909090150966</v>
      </c>
      <c r="BE166" s="179">
        <f t="shared" si="243"/>
        <v>0.137784452064907</v>
      </c>
      <c r="BG166" s="546">
        <f t="shared" si="220"/>
        <v>1.4544058151480179E-2</v>
      </c>
      <c r="BH166" s="546">
        <f t="shared" si="221"/>
        <v>3.7515111838882079E-2</v>
      </c>
      <c r="BI166" s="546">
        <f t="shared" si="222"/>
        <v>4.2836713633975952E-3</v>
      </c>
      <c r="BJ166" s="546">
        <f t="shared" si="223"/>
        <v>2.0100056954902367E-2</v>
      </c>
      <c r="BK166">
        <f t="shared" si="224"/>
        <v>2.8999999999999998E-3</v>
      </c>
      <c r="BM166" s="472">
        <f t="shared" si="225"/>
        <v>79.342898308662214</v>
      </c>
      <c r="BN166" s="546">
        <f t="shared" si="226"/>
        <v>1.8480000000000003E-2</v>
      </c>
      <c r="BQ166" s="472">
        <f t="shared" si="227"/>
        <v>18.480000000000004</v>
      </c>
      <c r="BR166" s="546">
        <f t="shared" si="228"/>
        <v>8.3108903722743897E-3</v>
      </c>
      <c r="BS166" s="546">
        <f t="shared" si="229"/>
        <v>3.7969110461653307E-3</v>
      </c>
      <c r="BT166" s="546">
        <f t="shared" si="230"/>
        <v>1.2887866240597611E-2</v>
      </c>
      <c r="BU166" s="546"/>
      <c r="BV166" s="546">
        <f t="shared" si="231"/>
        <v>1.1514216970592253E-2</v>
      </c>
      <c r="BW166" s="472">
        <f t="shared" si="232"/>
        <v>36.509884629629582</v>
      </c>
      <c r="BX166" s="179">
        <f t="shared" si="233"/>
        <v>0.13433278293829182</v>
      </c>
      <c r="BY166" s="6">
        <f t="shared" si="234"/>
        <v>1.4784000000000002</v>
      </c>
      <c r="BZ166" s="179">
        <f t="shared" si="235"/>
        <v>0.91670487240077891</v>
      </c>
      <c r="CA166" s="6">
        <f t="shared" si="236"/>
        <v>91.67048724007789</v>
      </c>
      <c r="CD166" s="581">
        <f t="shared" si="276"/>
        <v>-50</v>
      </c>
      <c r="CE166">
        <f t="shared" si="277"/>
        <v>-50</v>
      </c>
    </row>
    <row r="167" spans="5:83" x14ac:dyDescent="0.2">
      <c r="E167" s="176">
        <v>57</v>
      </c>
      <c r="F167" s="223">
        <f t="shared" si="278"/>
        <v>6.2699999999999992E-2</v>
      </c>
      <c r="G167" s="223"/>
      <c r="H167" s="223">
        <f t="shared" si="248"/>
        <v>1.5047999999999999</v>
      </c>
      <c r="I167" s="559">
        <f t="shared" si="249"/>
        <v>10</v>
      </c>
      <c r="J167" s="454">
        <f t="shared" si="250"/>
        <v>24.25</v>
      </c>
      <c r="K167" s="454">
        <f t="shared" si="251"/>
        <v>34.25</v>
      </c>
      <c r="L167" s="454"/>
      <c r="M167" s="223">
        <f t="shared" si="252"/>
        <v>0.70802919708029199</v>
      </c>
      <c r="N167" s="178">
        <f t="shared" si="253"/>
        <v>4.8765510948905106</v>
      </c>
      <c r="O167" s="178">
        <f t="shared" si="244"/>
        <v>1.5047999999999999</v>
      </c>
      <c r="P167" s="223">
        <f t="shared" si="254"/>
        <v>0.20318962895377127</v>
      </c>
      <c r="Q167" s="223">
        <f t="shared" si="255"/>
        <v>24</v>
      </c>
      <c r="R167" s="223"/>
      <c r="S167" s="178">
        <f t="shared" si="256"/>
        <v>99.87345402303437</v>
      </c>
      <c r="T167" s="178">
        <f t="shared" si="257"/>
        <v>24</v>
      </c>
      <c r="U167" s="223">
        <f t="shared" si="258"/>
        <v>0.44743917525773191</v>
      </c>
      <c r="V167" s="223">
        <f t="shared" si="259"/>
        <v>2.1029641237113395</v>
      </c>
      <c r="W167" s="223">
        <f t="shared" si="260"/>
        <v>0.8672017004995215</v>
      </c>
      <c r="X167" s="203">
        <f t="shared" si="261"/>
        <v>350</v>
      </c>
      <c r="Y167" s="454">
        <f t="shared" si="203"/>
        <v>336.68153873721462</v>
      </c>
      <c r="AA167" s="223">
        <f t="shared" si="262"/>
        <v>0.43041288576309544</v>
      </c>
      <c r="AB167" s="179">
        <f t="shared" si="263"/>
        <v>0.83420229405630864</v>
      </c>
      <c r="AC167" s="179">
        <f t="shared" si="264"/>
        <v>6.2833997921619769E-2</v>
      </c>
      <c r="AD167" s="179"/>
      <c r="AE167" s="179">
        <f t="shared" si="265"/>
        <v>0.56206185567010303</v>
      </c>
      <c r="AF167" s="563">
        <f t="shared" si="266"/>
        <v>769.3348850153061</v>
      </c>
      <c r="AG167" s="546">
        <f t="shared" si="267"/>
        <v>2.8524639175257726E-2</v>
      </c>
      <c r="AI167" s="179">
        <f t="shared" si="268"/>
        <v>0.42995369793830202</v>
      </c>
      <c r="AJ167" s="179">
        <f t="shared" si="269"/>
        <v>0.42995369793830202</v>
      </c>
      <c r="AK167" s="179">
        <f t="shared" si="270"/>
        <v>1.3036694058802236</v>
      </c>
      <c r="AM167" s="563">
        <f t="shared" si="271"/>
        <v>62.699999999999989</v>
      </c>
      <c r="AN167" s="472">
        <f t="shared" si="272"/>
        <v>336.68153873721462</v>
      </c>
      <c r="AP167">
        <f t="shared" si="273"/>
        <v>62.699999999999989</v>
      </c>
      <c r="AQ167">
        <f t="shared" si="274"/>
        <v>336.68153873721462</v>
      </c>
      <c r="AS167" s="6">
        <f t="shared" si="245"/>
        <v>2.9701658242108611</v>
      </c>
      <c r="AT167" s="6">
        <f t="shared" si="275"/>
        <v>2.0207823803100196</v>
      </c>
      <c r="AU167" s="6">
        <f t="shared" si="218"/>
        <v>0.94938344390084151</v>
      </c>
      <c r="AV167" s="6"/>
      <c r="AW167" s="179">
        <f t="shared" si="219"/>
        <v>0.68036012125582856</v>
      </c>
      <c r="AX167" s="179">
        <f t="shared" si="241"/>
        <v>1.4626167503184753</v>
      </c>
      <c r="AY167" s="179">
        <f t="shared" si="242"/>
        <v>6.8715173937303489E-2</v>
      </c>
      <c r="AZ167" s="179">
        <f t="shared" si="246"/>
        <v>21.285207713408155</v>
      </c>
      <c r="BD167" s="179">
        <f t="shared" si="247"/>
        <v>0.20475310017448342</v>
      </c>
      <c r="BE167" s="179">
        <f t="shared" si="243"/>
        <v>0.14034325334411879</v>
      </c>
      <c r="BG167" s="546">
        <f t="shared" si="220"/>
        <v>1.4673341210871714E-2</v>
      </c>
      <c r="BH167" s="546">
        <f t="shared" si="221"/>
        <v>3.7184575776083181E-2</v>
      </c>
      <c r="BI167" s="546">
        <f t="shared" si="222"/>
        <v>4.2085192342151828E-3</v>
      </c>
      <c r="BJ167" s="546">
        <f t="shared" si="223"/>
        <v>1.9747424376746189E-2</v>
      </c>
      <c r="BK167">
        <f t="shared" si="224"/>
        <v>2.8999999999999998E-3</v>
      </c>
      <c r="BM167" s="472">
        <f t="shared" si="225"/>
        <v>78.713860597916266</v>
      </c>
      <c r="BN167" s="546">
        <f t="shared" si="226"/>
        <v>1.8809999999999997E-2</v>
      </c>
      <c r="BQ167" s="472">
        <f t="shared" si="227"/>
        <v>18.809999999999995</v>
      </c>
      <c r="BR167" s="546">
        <f t="shared" si="228"/>
        <v>8.3847664062124093E-3</v>
      </c>
      <c r="BS167" s="546">
        <f t="shared" si="229"/>
        <v>3.939245751842302E-3</v>
      </c>
      <c r="BT167" s="546">
        <f t="shared" si="230"/>
        <v>1.2605860134120133E-2</v>
      </c>
      <c r="BU167" s="546"/>
      <c r="BV167" s="546">
        <f t="shared" si="231"/>
        <v>1.1514216970592253E-2</v>
      </c>
      <c r="BW167" s="472">
        <f t="shared" si="232"/>
        <v>36.4440892627671</v>
      </c>
      <c r="BX167" s="179">
        <f t="shared" si="233"/>
        <v>0.13396794986068336</v>
      </c>
      <c r="BY167" s="6">
        <f t="shared" si="234"/>
        <v>1.5047999999999999</v>
      </c>
      <c r="BZ167" s="179">
        <f t="shared" si="235"/>
        <v>0.91825081160998268</v>
      </c>
      <c r="CA167" s="6">
        <f t="shared" si="236"/>
        <v>91.825081160998266</v>
      </c>
      <c r="CD167" s="581">
        <f t="shared" si="276"/>
        <v>-50</v>
      </c>
      <c r="CE167">
        <f t="shared" si="277"/>
        <v>-50</v>
      </c>
    </row>
    <row r="168" spans="5:83" x14ac:dyDescent="0.2">
      <c r="E168" s="176">
        <v>58</v>
      </c>
      <c r="F168" s="223">
        <f t="shared" si="278"/>
        <v>6.3799999999999996E-2</v>
      </c>
      <c r="G168" s="223"/>
      <c r="H168" s="223">
        <f t="shared" si="248"/>
        <v>1.5311999999999999</v>
      </c>
      <c r="I168" s="559">
        <f t="shared" si="249"/>
        <v>10</v>
      </c>
      <c r="J168" s="454">
        <f t="shared" si="250"/>
        <v>24.25</v>
      </c>
      <c r="K168" s="454">
        <f t="shared" si="251"/>
        <v>34.25</v>
      </c>
      <c r="L168" s="454"/>
      <c r="M168" s="223">
        <f t="shared" si="252"/>
        <v>0.70802919708029199</v>
      </c>
      <c r="N168" s="178">
        <f t="shared" si="253"/>
        <v>4.8765510948905106</v>
      </c>
      <c r="O168" s="178">
        <f t="shared" si="244"/>
        <v>1.5311999999999999</v>
      </c>
      <c r="P168" s="223">
        <f t="shared" si="254"/>
        <v>0.20318962895377127</v>
      </c>
      <c r="Q168" s="223">
        <f t="shared" si="255"/>
        <v>24</v>
      </c>
      <c r="R168" s="223"/>
      <c r="S168" s="178">
        <f t="shared" si="256"/>
        <v>97.979995928979037</v>
      </c>
      <c r="T168" s="178">
        <f t="shared" si="257"/>
        <v>24</v>
      </c>
      <c r="U168" s="223">
        <f t="shared" si="258"/>
        <v>0.45528898534997281</v>
      </c>
      <c r="V168" s="223">
        <f t="shared" si="259"/>
        <v>2.1398582311448719</v>
      </c>
      <c r="W168" s="223">
        <f t="shared" si="260"/>
        <v>0.88241576542056588</v>
      </c>
      <c r="X168" s="203">
        <f t="shared" si="261"/>
        <v>350</v>
      </c>
      <c r="Y168" s="454">
        <f t="shared" si="203"/>
        <v>330.87668462105569</v>
      </c>
      <c r="AA168" s="223">
        <f t="shared" si="262"/>
        <v>0.43041288576309544</v>
      </c>
      <c r="AB168" s="179">
        <f t="shared" si="263"/>
        <v>0.83420229405630864</v>
      </c>
      <c r="AC168" s="179">
        <f t="shared" si="264"/>
        <v>6.2833997921619769E-2</v>
      </c>
      <c r="AD168" s="179"/>
      <c r="AE168" s="179">
        <f t="shared" si="265"/>
        <v>0.56206185567010303</v>
      </c>
      <c r="AF168" s="563">
        <f t="shared" si="266"/>
        <v>782.8319882611886</v>
      </c>
      <c r="AG168" s="546">
        <f t="shared" si="267"/>
        <v>2.8524639175257726E-2</v>
      </c>
      <c r="AI168" s="179">
        <f t="shared" si="268"/>
        <v>0.43370882336545286</v>
      </c>
      <c r="AJ168" s="179">
        <f t="shared" si="269"/>
        <v>0.45528898534997281</v>
      </c>
      <c r="AK168" s="179">
        <f t="shared" si="270"/>
        <v>1.3224362854444243</v>
      </c>
      <c r="AM168" s="563">
        <f t="shared" si="271"/>
        <v>63.8</v>
      </c>
      <c r="AN168" s="472">
        <f t="shared" si="272"/>
        <v>330.87668462105569</v>
      </c>
      <c r="AP168">
        <f t="shared" si="273"/>
        <v>63.8</v>
      </c>
      <c r="AQ168">
        <f t="shared" si="274"/>
        <v>330.87668462105569</v>
      </c>
      <c r="AS168" s="6">
        <f t="shared" si="245"/>
        <v>3.0222739965654379</v>
      </c>
      <c r="AT168" s="6">
        <f t="shared" si="275"/>
        <v>2.1398582311448719</v>
      </c>
      <c r="AU168" s="6">
        <f t="shared" si="218"/>
        <v>0.88241576542056599</v>
      </c>
      <c r="AV168" s="6"/>
      <c r="AW168" s="179">
        <f t="shared" si="219"/>
        <v>0.70802919708029188</v>
      </c>
      <c r="AX168" s="179">
        <f t="shared" si="241"/>
        <v>1.61178947368421</v>
      </c>
      <c r="AY168" s="179">
        <f t="shared" si="242"/>
        <v>6.6465545306565399E-2</v>
      </c>
      <c r="AZ168" s="179">
        <f t="shared" si="246"/>
        <v>24.249999999999986</v>
      </c>
      <c r="BD168" s="179">
        <f t="shared" si="247"/>
        <v>0.22118318110734228</v>
      </c>
      <c r="BE168" s="179">
        <f t="shared" si="243"/>
        <v>0.1420352789118694</v>
      </c>
      <c r="BG168" s="546">
        <f t="shared" si="220"/>
        <v>1.712269986166718E-2</v>
      </c>
      <c r="BH168" s="546">
        <f t="shared" si="221"/>
        <v>3.8696808510638295E-2</v>
      </c>
      <c r="BI168" s="546">
        <f t="shared" si="222"/>
        <v>4.1359585577631953E-3</v>
      </c>
      <c r="BJ168" s="546">
        <f t="shared" si="223"/>
        <v>1.9406951542664357E-2</v>
      </c>
      <c r="BK168">
        <f t="shared" si="224"/>
        <v>2.8999999999999998E-3</v>
      </c>
      <c r="BM168" s="472">
        <f t="shared" si="225"/>
        <v>82.262418472733032</v>
      </c>
      <c r="BN168" s="546">
        <f t="shared" si="226"/>
        <v>1.9139999999999997E-2</v>
      </c>
      <c r="BQ168" s="472">
        <f t="shared" si="227"/>
        <v>19.139999999999997</v>
      </c>
      <c r="BR168" s="546">
        <f t="shared" si="228"/>
        <v>9.7843999209526744E-3</v>
      </c>
      <c r="BS168" s="546">
        <f t="shared" si="229"/>
        <v>4.0348040911145069E-3</v>
      </c>
      <c r="BT168" s="546">
        <f t="shared" si="230"/>
        <v>1.3926862161630828E-2</v>
      </c>
      <c r="BU168" s="546"/>
      <c r="BV168" s="546">
        <f t="shared" si="231"/>
        <v>1.2688555431131017E-2</v>
      </c>
      <c r="BW168" s="472">
        <f t="shared" si="232"/>
        <v>40.434621604829026</v>
      </c>
      <c r="BX168" s="179">
        <f t="shared" si="233"/>
        <v>0.14183704007756207</v>
      </c>
      <c r="BY168" s="6">
        <f t="shared" si="234"/>
        <v>1.5311999999999999</v>
      </c>
      <c r="BZ168" s="179">
        <f t="shared" si="235"/>
        <v>0.91522181716252582</v>
      </c>
      <c r="CA168" s="6">
        <f t="shared" si="236"/>
        <v>91.522181716252575</v>
      </c>
      <c r="CD168" s="581">
        <f t="shared" si="276"/>
        <v>-50</v>
      </c>
      <c r="CE168">
        <f t="shared" si="277"/>
        <v>-50</v>
      </c>
    </row>
    <row r="169" spans="5:83" x14ac:dyDescent="0.2">
      <c r="E169" s="176">
        <v>59</v>
      </c>
      <c r="F169" s="223">
        <f t="shared" si="278"/>
        <v>6.4899999999999999E-2</v>
      </c>
      <c r="G169" s="223"/>
      <c r="H169" s="223">
        <f t="shared" si="248"/>
        <v>1.5575999999999999</v>
      </c>
      <c r="I169" s="559">
        <f t="shared" si="249"/>
        <v>10</v>
      </c>
      <c r="J169" s="454">
        <f t="shared" si="250"/>
        <v>24.25</v>
      </c>
      <c r="K169" s="454">
        <f t="shared" si="251"/>
        <v>34.25</v>
      </c>
      <c r="L169" s="454"/>
      <c r="M169" s="223">
        <f t="shared" si="252"/>
        <v>0.70802919708029199</v>
      </c>
      <c r="N169" s="178">
        <f t="shared" si="253"/>
        <v>4.8765510948905106</v>
      </c>
      <c r="O169" s="178">
        <f t="shared" si="244"/>
        <v>1.5575999999999999</v>
      </c>
      <c r="P169" s="223">
        <f t="shared" si="254"/>
        <v>0.20318962895377127</v>
      </c>
      <c r="Q169" s="223">
        <f t="shared" si="255"/>
        <v>24</v>
      </c>
      <c r="R169" s="223"/>
      <c r="S169" s="178">
        <f t="shared" si="256"/>
        <v>96.150740806661418</v>
      </c>
      <c r="T169" s="178">
        <f t="shared" si="257"/>
        <v>24</v>
      </c>
      <c r="U169" s="223">
        <f t="shared" si="258"/>
        <v>0.4631387954422137</v>
      </c>
      <c r="V169" s="223">
        <f t="shared" si="259"/>
        <v>2.1767523385784044</v>
      </c>
      <c r="W169" s="223">
        <f t="shared" si="260"/>
        <v>0.89762983034161004</v>
      </c>
      <c r="X169" s="203">
        <f t="shared" si="261"/>
        <v>350</v>
      </c>
      <c r="Y169" s="454">
        <f t="shared" si="203"/>
        <v>325.26860522069882</v>
      </c>
      <c r="AA169" s="223">
        <f t="shared" si="262"/>
        <v>0.43041288576309544</v>
      </c>
      <c r="AB169" s="179">
        <f t="shared" si="263"/>
        <v>0.83420229405630864</v>
      </c>
      <c r="AC169" s="179">
        <f t="shared" si="264"/>
        <v>6.2833997921619769E-2</v>
      </c>
      <c r="AD169" s="179"/>
      <c r="AE169" s="179">
        <f t="shared" si="265"/>
        <v>0.56206185567010303</v>
      </c>
      <c r="AF169" s="563">
        <f t="shared" si="266"/>
        <v>796.32909150707133</v>
      </c>
      <c r="AG169" s="546">
        <f t="shared" si="267"/>
        <v>2.8524639175257726E-2</v>
      </c>
      <c r="AI169" s="179">
        <f t="shared" si="268"/>
        <v>0.43743171416721782</v>
      </c>
      <c r="AJ169" s="179">
        <f t="shared" si="269"/>
        <v>0.4631387954422137</v>
      </c>
      <c r="AK169" s="179">
        <f t="shared" si="270"/>
        <v>1.3282509595868248</v>
      </c>
      <c r="AM169" s="563">
        <f t="shared" si="271"/>
        <v>64.900000000000006</v>
      </c>
      <c r="AN169" s="472">
        <f t="shared" si="272"/>
        <v>325.26860522069882</v>
      </c>
      <c r="AP169">
        <f t="shared" si="273"/>
        <v>64.900000000000006</v>
      </c>
      <c r="AQ169">
        <f t="shared" si="274"/>
        <v>325.26860522069882</v>
      </c>
      <c r="AS169" s="6">
        <f t="shared" si="245"/>
        <v>3.0743821689200148</v>
      </c>
      <c r="AT169" s="6">
        <f t="shared" si="275"/>
        <v>2.1767523385784044</v>
      </c>
      <c r="AU169" s="6">
        <f t="shared" si="218"/>
        <v>0.89762983034161037</v>
      </c>
      <c r="AV169" s="6"/>
      <c r="AW169" s="179">
        <f t="shared" si="219"/>
        <v>0.70802919708029188</v>
      </c>
      <c r="AX169" s="179">
        <f t="shared" si="241"/>
        <v>1.6395789473684206</v>
      </c>
      <c r="AY169" s="179">
        <f t="shared" si="242"/>
        <v>6.7611502984264799E-2</v>
      </c>
      <c r="AZ169" s="179">
        <f t="shared" si="246"/>
        <v>24.249999999999989</v>
      </c>
      <c r="BD169" s="179">
        <f t="shared" si="247"/>
        <v>0.22499668422988267</v>
      </c>
      <c r="BE169" s="179">
        <f t="shared" si="243"/>
        <v>0.14448416303103956</v>
      </c>
      <c r="BG169" s="546">
        <f t="shared" si="220"/>
        <v>1.7718227770054537E-2</v>
      </c>
      <c r="BH169" s="546">
        <f t="shared" si="221"/>
        <v>3.8696808510638295E-2</v>
      </c>
      <c r="BI169" s="546">
        <f t="shared" si="222"/>
        <v>4.0658575652587348E-3</v>
      </c>
      <c r="BJ169" s="546">
        <f t="shared" si="223"/>
        <v>1.90780201605853E-2</v>
      </c>
      <c r="BK169">
        <f t="shared" si="224"/>
        <v>2.8999999999999998E-3</v>
      </c>
      <c r="BM169" s="472">
        <f t="shared" si="225"/>
        <v>82.458914006536858</v>
      </c>
      <c r="BN169" s="546">
        <f t="shared" si="226"/>
        <v>1.9469999999999998E-2</v>
      </c>
      <c r="BQ169" s="472">
        <f t="shared" si="227"/>
        <v>19.47</v>
      </c>
      <c r="BR169" s="546">
        <f t="shared" si="228"/>
        <v>1.0124701582888307E-2</v>
      </c>
      <c r="BS169" s="546">
        <f t="shared" si="229"/>
        <v>4.1751346733560034E-3</v>
      </c>
      <c r="BT169" s="546">
        <f t="shared" si="230"/>
        <v>1.392686216163083E-2</v>
      </c>
      <c r="BU169" s="546"/>
      <c r="BV169" s="546">
        <f t="shared" si="231"/>
        <v>1.2907323628219482E-2</v>
      </c>
      <c r="BW169" s="472">
        <f t="shared" si="232"/>
        <v>41.134022046094621</v>
      </c>
      <c r="BX169" s="179">
        <f t="shared" si="233"/>
        <v>0.14306293605263148</v>
      </c>
      <c r="BY169" s="6">
        <f t="shared" si="234"/>
        <v>1.5575999999999999</v>
      </c>
      <c r="BZ169" s="179">
        <f t="shared" si="235"/>
        <v>0.91587813609633228</v>
      </c>
      <c r="CA169" s="6">
        <f t="shared" si="236"/>
        <v>91.58781360963323</v>
      </c>
      <c r="CD169" s="581">
        <f t="shared" si="276"/>
        <v>-50</v>
      </c>
      <c r="CE169">
        <f t="shared" si="277"/>
        <v>-50</v>
      </c>
    </row>
    <row r="170" spans="5:83" x14ac:dyDescent="0.2">
      <c r="E170" s="176">
        <v>60</v>
      </c>
      <c r="F170" s="223">
        <f t="shared" si="278"/>
        <v>6.6000000000000003E-2</v>
      </c>
      <c r="G170" s="223"/>
      <c r="H170" s="223">
        <f t="shared" si="248"/>
        <v>1.5840000000000001</v>
      </c>
      <c r="I170" s="559">
        <f t="shared" si="249"/>
        <v>10</v>
      </c>
      <c r="J170" s="454">
        <f t="shared" si="250"/>
        <v>24.25</v>
      </c>
      <c r="K170" s="454">
        <f t="shared" si="251"/>
        <v>34.25</v>
      </c>
      <c r="L170" s="454"/>
      <c r="M170" s="223">
        <f t="shared" si="252"/>
        <v>0.70802919708029199</v>
      </c>
      <c r="N170" s="178">
        <f t="shared" si="253"/>
        <v>4.8765510948905106</v>
      </c>
      <c r="O170" s="178">
        <f t="shared" si="244"/>
        <v>1.5840000000000001</v>
      </c>
      <c r="P170" s="223">
        <f t="shared" si="254"/>
        <v>0.20318962895377127</v>
      </c>
      <c r="Q170" s="223">
        <f t="shared" si="255"/>
        <v>24</v>
      </c>
      <c r="R170" s="223"/>
      <c r="S170" s="178">
        <f t="shared" si="256"/>
        <v>94.382478597399867</v>
      </c>
      <c r="T170" s="178">
        <f t="shared" si="257"/>
        <v>24</v>
      </c>
      <c r="U170" s="223">
        <f t="shared" si="258"/>
        <v>0.47098860553445471</v>
      </c>
      <c r="V170" s="223">
        <f t="shared" si="259"/>
        <v>2.2136464460119374</v>
      </c>
      <c r="W170" s="223">
        <f t="shared" si="260"/>
        <v>0.91284389526265453</v>
      </c>
      <c r="X170" s="203">
        <f t="shared" si="261"/>
        <v>350</v>
      </c>
      <c r="Y170" s="454">
        <f t="shared" ref="Y170:Y210" si="279">MIN(1/(V170+W170)*1000, 350)</f>
        <v>319.8474618003537</v>
      </c>
      <c r="AA170" s="223">
        <f t="shared" si="262"/>
        <v>0.43041288576309544</v>
      </c>
      <c r="AB170" s="179">
        <f t="shared" si="263"/>
        <v>0.83420229405630864</v>
      </c>
      <c r="AC170" s="179">
        <f t="shared" si="264"/>
        <v>6.2833997921619769E-2</v>
      </c>
      <c r="AD170" s="179"/>
      <c r="AE170" s="179">
        <f t="shared" si="265"/>
        <v>0.56206185567010303</v>
      </c>
      <c r="AF170" s="563">
        <f t="shared" si="266"/>
        <v>809.82619475295382</v>
      </c>
      <c r="AG170" s="546">
        <f t="shared" si="267"/>
        <v>2.8524639175257726E-2</v>
      </c>
      <c r="AI170" s="179">
        <f t="shared" si="268"/>
        <v>0.44112318648365728</v>
      </c>
      <c r="AJ170" s="179">
        <f t="shared" si="269"/>
        <v>0.47098860553445471</v>
      </c>
      <c r="AK170" s="179">
        <f t="shared" si="270"/>
        <v>1.3340656337292256</v>
      </c>
      <c r="AM170" s="563">
        <f t="shared" si="271"/>
        <v>66</v>
      </c>
      <c r="AN170" s="472">
        <f t="shared" si="272"/>
        <v>319.8474618003537</v>
      </c>
      <c r="AP170">
        <f t="shared" si="273"/>
        <v>66</v>
      </c>
      <c r="AQ170">
        <f t="shared" si="274"/>
        <v>319.8474618003537</v>
      </c>
      <c r="AS170" s="6">
        <f t="shared" si="245"/>
        <v>3.1264903412745921</v>
      </c>
      <c r="AT170" s="6">
        <f t="shared" si="275"/>
        <v>2.2136464460119374</v>
      </c>
      <c r="AU170" s="6">
        <f t="shared" ref="AU170:AU233" si="280">AS170-AT170</f>
        <v>0.91284389526265475</v>
      </c>
      <c r="AV170" s="6"/>
      <c r="AW170" s="179">
        <f t="shared" ref="AW170:AW233" si="281">AT170/AS170</f>
        <v>0.70802919708029188</v>
      </c>
      <c r="AX170" s="179">
        <f t="shared" si="241"/>
        <v>1.6673684210526312</v>
      </c>
      <c r="AY170" s="179">
        <f t="shared" si="242"/>
        <v>6.8757460661964212E-2</v>
      </c>
      <c r="AZ170" s="179">
        <f t="shared" si="246"/>
        <v>24.249999999999986</v>
      </c>
      <c r="BD170" s="179">
        <f t="shared" si="247"/>
        <v>0.22881018735242309</v>
      </c>
      <c r="BE170" s="179">
        <f t="shared" si="243"/>
        <v>0.14693304715020977</v>
      </c>
      <c r="BG170" s="546">
        <f t="shared" ref="BG170:BG210" si="282">Rdson*BD170^2</f>
        <v>1.8323935642687833E-2</v>
      </c>
      <c r="BH170" s="546">
        <f t="shared" ref="BH170:BH210" si="283">0.5*K170*AJ170*AN170*1000*Trise</f>
        <v>3.8696808510638281E-2</v>
      </c>
      <c r="BI170" s="546">
        <f t="shared" ref="BI170:BI210" si="284">Qg*Vdd*AN170*1000</f>
        <v>3.9980932725044212E-3</v>
      </c>
      <c r="BJ170" s="546">
        <f t="shared" ref="BJ170:BJ210" si="285">0.5*(Coss+Csw)*K170^2*AN170*1000</f>
        <v>1.8760053157908872E-2</v>
      </c>
      <c r="BK170">
        <f t="shared" ref="BK170:BK210" si="286">I170*IQ</f>
        <v>2.8999999999999998E-3</v>
      </c>
      <c r="BM170" s="472">
        <f t="shared" ref="BM170:BM210" si="287">SUM(BG170:BK170)*1000</f>
        <v>82.678890583739403</v>
      </c>
      <c r="BN170" s="546">
        <f t="shared" ref="BN170:BN210" si="288">Vfwd2*F170</f>
        <v>1.9800000000000002E-2</v>
      </c>
      <c r="BQ170" s="472">
        <f t="shared" ref="BQ170:BQ210" si="289">SUM(BN170:BP170)*1000</f>
        <v>19.8</v>
      </c>
      <c r="BR170" s="546">
        <f t="shared" ref="BR170:BR210" si="290">Rdcr_pri*BD170^2</f>
        <v>1.0470820367250193E-2</v>
      </c>
      <c r="BS170" s="546">
        <f t="shared" ref="BS170:BS210" si="291">Rdcr_sec*BE170^2</f>
        <v>4.3178640689691536E-3</v>
      </c>
      <c r="BT170" s="546">
        <f t="shared" ref="BT170:BT210" si="292">AJ170^2.5*AN170^2.5*k_core</f>
        <v>1.3926862161630846E-2</v>
      </c>
      <c r="BU170" s="546"/>
      <c r="BV170" s="546">
        <f t="shared" ref="BV170:BV210" si="293">0.5*Lleak*0.000000001*AJ170^2*AN170*1000</f>
        <v>1.312609182530795E-2</v>
      </c>
      <c r="BW170" s="472">
        <f t="shared" ref="BW170:BW210" si="294">SUM(BR170:BV170)*1000</f>
        <v>41.841638423158138</v>
      </c>
      <c r="BX170" s="179">
        <f t="shared" ref="BX170:BX210" si="295">SUM(BG170:BK170,BN170:BP170,BR170:BV170)</f>
        <v>0.14432052900689754</v>
      </c>
      <c r="BY170" s="6">
        <f t="shared" ref="BY170:BY210" si="296">MIN(H170,O170)</f>
        <v>1.5840000000000001</v>
      </c>
      <c r="BZ170" s="179">
        <f t="shared" ref="BZ170:BZ210" si="297">BY170/(BY170+BX170)</f>
        <v>0.91649666448744604</v>
      </c>
      <c r="CA170" s="6">
        <f t="shared" ref="CA170:CA210" si="298">BZ170*100</f>
        <v>91.649666448744611</v>
      </c>
      <c r="CD170" s="581">
        <f t="shared" si="276"/>
        <v>-50</v>
      </c>
      <c r="CE170">
        <f t="shared" si="277"/>
        <v>-50</v>
      </c>
    </row>
    <row r="171" spans="5:83" x14ac:dyDescent="0.2">
      <c r="E171" s="176">
        <v>61</v>
      </c>
      <c r="F171" s="223">
        <f t="shared" si="278"/>
        <v>6.7099999999999993E-2</v>
      </c>
      <c r="G171" s="223"/>
      <c r="H171" s="223">
        <f t="shared" si="248"/>
        <v>1.6103999999999998</v>
      </c>
      <c r="I171" s="559">
        <f t="shared" si="249"/>
        <v>10</v>
      </c>
      <c r="J171" s="454">
        <f t="shared" si="250"/>
        <v>24.25</v>
      </c>
      <c r="K171" s="454">
        <f t="shared" si="251"/>
        <v>34.25</v>
      </c>
      <c r="L171" s="454"/>
      <c r="M171" s="223">
        <f t="shared" si="252"/>
        <v>0.70802919708029199</v>
      </c>
      <c r="N171" s="178">
        <f t="shared" si="253"/>
        <v>4.8765510948905106</v>
      </c>
      <c r="O171" s="178">
        <f t="shared" si="244"/>
        <v>1.6103999999999998</v>
      </c>
      <c r="P171" s="223">
        <f t="shared" si="254"/>
        <v>0.20318962895377127</v>
      </c>
      <c r="Q171" s="223">
        <f t="shared" si="255"/>
        <v>24</v>
      </c>
      <c r="R171" s="223"/>
      <c r="S171" s="178">
        <f t="shared" si="256"/>
        <v>92.672209738745721</v>
      </c>
      <c r="T171" s="178">
        <f t="shared" si="257"/>
        <v>24</v>
      </c>
      <c r="U171" s="223">
        <f t="shared" si="258"/>
        <v>0.47883841562669555</v>
      </c>
      <c r="V171" s="223">
        <f t="shared" si="259"/>
        <v>2.250540553445469</v>
      </c>
      <c r="W171" s="223">
        <f t="shared" si="260"/>
        <v>0.92805796018369846</v>
      </c>
      <c r="X171" s="203">
        <f t="shared" si="261"/>
        <v>350</v>
      </c>
      <c r="Y171" s="454">
        <f t="shared" si="279"/>
        <v>314.60406078723332</v>
      </c>
      <c r="AA171" s="223">
        <f t="shared" si="262"/>
        <v>0.43041288576309544</v>
      </c>
      <c r="AB171" s="179">
        <f t="shared" si="263"/>
        <v>0.83420229405630864</v>
      </c>
      <c r="AC171" s="179">
        <f t="shared" si="264"/>
        <v>6.2833997921619769E-2</v>
      </c>
      <c r="AD171" s="179"/>
      <c r="AE171" s="179">
        <f t="shared" si="265"/>
        <v>0.56206185567010303</v>
      </c>
      <c r="AF171" s="563">
        <f t="shared" si="266"/>
        <v>823.32329799883632</v>
      </c>
      <c r="AG171" s="546">
        <f t="shared" si="267"/>
        <v>2.8524639175257726E-2</v>
      </c>
      <c r="AI171" s="179">
        <f t="shared" si="268"/>
        <v>0.4447840225859292</v>
      </c>
      <c r="AJ171" s="179">
        <f t="shared" si="269"/>
        <v>0.47883841562669555</v>
      </c>
      <c r="AK171" s="179">
        <f t="shared" si="270"/>
        <v>1.3398803078716264</v>
      </c>
      <c r="AM171" s="563">
        <f t="shared" si="271"/>
        <v>67.099999999999994</v>
      </c>
      <c r="AN171" s="472">
        <f t="shared" si="272"/>
        <v>314.60406078723332</v>
      </c>
      <c r="AP171">
        <f t="shared" si="273"/>
        <v>67.099999999999994</v>
      </c>
      <c r="AQ171">
        <f t="shared" si="274"/>
        <v>314.60406078723332</v>
      </c>
      <c r="AS171" s="6">
        <f t="shared" si="245"/>
        <v>3.1785985136291672</v>
      </c>
      <c r="AT171" s="6">
        <f t="shared" si="275"/>
        <v>2.250540553445469</v>
      </c>
      <c r="AU171" s="6">
        <f t="shared" si="280"/>
        <v>0.92805796018369824</v>
      </c>
      <c r="AV171" s="6"/>
      <c r="AW171" s="179">
        <f t="shared" si="281"/>
        <v>0.70802919708029199</v>
      </c>
      <c r="AX171" s="179">
        <f t="shared" si="241"/>
        <v>1.6951578947368422</v>
      </c>
      <c r="AY171" s="179">
        <f t="shared" si="242"/>
        <v>6.9903418339663584E-2</v>
      </c>
      <c r="AZ171" s="179">
        <f t="shared" si="246"/>
        <v>24.250000000000004</v>
      </c>
      <c r="BD171" s="179">
        <f t="shared" si="247"/>
        <v>0.23262369047496348</v>
      </c>
      <c r="BE171" s="179">
        <f t="shared" si="243"/>
        <v>0.14938193126937988</v>
      </c>
      <c r="BG171" s="546">
        <f t="shared" si="282"/>
        <v>1.8939823479567065E-2</v>
      </c>
      <c r="BH171" s="546">
        <f t="shared" si="283"/>
        <v>3.8696808510638295E-2</v>
      </c>
      <c r="BI171" s="546">
        <f t="shared" si="284"/>
        <v>3.9325507598404162E-3</v>
      </c>
      <c r="BJ171" s="546">
        <f t="shared" si="285"/>
        <v>1.8452511302861196E-2</v>
      </c>
      <c r="BK171">
        <f t="shared" si="286"/>
        <v>2.8999999999999998E-3</v>
      </c>
      <c r="BM171" s="472">
        <f t="shared" si="287"/>
        <v>82.921694052906972</v>
      </c>
      <c r="BN171" s="546">
        <f t="shared" si="288"/>
        <v>2.0129999999999999E-2</v>
      </c>
      <c r="BQ171" s="472">
        <f t="shared" si="289"/>
        <v>20.13</v>
      </c>
      <c r="BR171" s="546">
        <f t="shared" si="290"/>
        <v>1.0822756274038323E-2</v>
      </c>
      <c r="BS171" s="546">
        <f t="shared" si="291"/>
        <v>4.4629922779539461E-3</v>
      </c>
      <c r="BT171" s="546">
        <f t="shared" si="292"/>
        <v>1.3926862161630842E-2</v>
      </c>
      <c r="BU171" s="546"/>
      <c r="BV171" s="546">
        <f t="shared" si="293"/>
        <v>1.334486002239642E-2</v>
      </c>
      <c r="BW171" s="472">
        <f t="shared" si="294"/>
        <v>42.557470736019532</v>
      </c>
      <c r="BX171" s="179">
        <f t="shared" si="295"/>
        <v>0.14560916478892652</v>
      </c>
      <c r="BY171" s="6">
        <f t="shared" si="296"/>
        <v>1.6103999999999998</v>
      </c>
      <c r="BZ171" s="179">
        <f t="shared" si="297"/>
        <v>0.91707949610477746</v>
      </c>
      <c r="CA171" s="6">
        <f t="shared" si="298"/>
        <v>91.707949610477741</v>
      </c>
      <c r="CD171" s="581">
        <f t="shared" si="276"/>
        <v>-50</v>
      </c>
      <c r="CE171">
        <f t="shared" si="277"/>
        <v>-50</v>
      </c>
    </row>
    <row r="172" spans="5:83" x14ac:dyDescent="0.2">
      <c r="E172" s="176">
        <v>62</v>
      </c>
      <c r="F172" s="223">
        <f t="shared" si="278"/>
        <v>6.8199999999999997E-2</v>
      </c>
      <c r="G172" s="223"/>
      <c r="H172" s="223">
        <f t="shared" si="248"/>
        <v>1.6368</v>
      </c>
      <c r="I172" s="559">
        <f t="shared" si="249"/>
        <v>10</v>
      </c>
      <c r="J172" s="454">
        <f t="shared" si="250"/>
        <v>24.25</v>
      </c>
      <c r="K172" s="454">
        <f t="shared" si="251"/>
        <v>34.25</v>
      </c>
      <c r="L172" s="454"/>
      <c r="M172" s="223">
        <f t="shared" si="252"/>
        <v>0.70802919708029199</v>
      </c>
      <c r="N172" s="178">
        <f t="shared" si="253"/>
        <v>4.8765510948905106</v>
      </c>
      <c r="O172" s="178">
        <f t="shared" si="244"/>
        <v>1.6368</v>
      </c>
      <c r="P172" s="223">
        <f t="shared" si="254"/>
        <v>0.20318962895377127</v>
      </c>
      <c r="Q172" s="223">
        <f t="shared" si="255"/>
        <v>24</v>
      </c>
      <c r="R172" s="223"/>
      <c r="S172" s="178">
        <f t="shared" si="256"/>
        <v>91.017128188985239</v>
      </c>
      <c r="T172" s="178">
        <f t="shared" si="257"/>
        <v>24</v>
      </c>
      <c r="U172" s="223">
        <f t="shared" si="258"/>
        <v>0.4866882257189365</v>
      </c>
      <c r="V172" s="223">
        <f t="shared" si="259"/>
        <v>2.2874346608790015</v>
      </c>
      <c r="W172" s="223">
        <f t="shared" si="260"/>
        <v>0.94327202510474284</v>
      </c>
      <c r="X172" s="203">
        <f t="shared" si="261"/>
        <v>350</v>
      </c>
      <c r="Y172" s="454">
        <f t="shared" si="279"/>
        <v>309.52980174227793</v>
      </c>
      <c r="AA172" s="223">
        <f t="shared" si="262"/>
        <v>0.43041288576309544</v>
      </c>
      <c r="AB172" s="179">
        <f t="shared" si="263"/>
        <v>0.83420229405630864</v>
      </c>
      <c r="AC172" s="179">
        <f t="shared" si="264"/>
        <v>6.2833997921619769E-2</v>
      </c>
      <c r="AD172" s="179"/>
      <c r="AE172" s="179">
        <f t="shared" si="265"/>
        <v>0.56206185567010303</v>
      </c>
      <c r="AF172" s="563">
        <f t="shared" si="266"/>
        <v>836.82040124471894</v>
      </c>
      <c r="AG172" s="546">
        <f t="shared" si="267"/>
        <v>2.8524639175257726E-2</v>
      </c>
      <c r="AI172" s="179">
        <f t="shared" si="268"/>
        <v>0.44841497281195386</v>
      </c>
      <c r="AJ172" s="179">
        <f t="shared" si="269"/>
        <v>0.4866882257189365</v>
      </c>
      <c r="AK172" s="179">
        <f t="shared" si="270"/>
        <v>1.3456949820140269</v>
      </c>
      <c r="AM172" s="563">
        <f t="shared" si="271"/>
        <v>68.2</v>
      </c>
      <c r="AN172" s="472">
        <f t="shared" si="272"/>
        <v>309.52980174227793</v>
      </c>
      <c r="AP172">
        <f t="shared" si="273"/>
        <v>68.2</v>
      </c>
      <c r="AQ172">
        <f t="shared" si="274"/>
        <v>309.52980174227793</v>
      </c>
      <c r="AS172" s="6">
        <f t="shared" si="245"/>
        <v>3.2307066859837441</v>
      </c>
      <c r="AT172" s="6">
        <f t="shared" si="275"/>
        <v>2.2874346608790015</v>
      </c>
      <c r="AU172" s="6">
        <f t="shared" si="280"/>
        <v>0.94327202510474262</v>
      </c>
      <c r="AV172" s="6"/>
      <c r="AW172" s="179">
        <f t="shared" si="281"/>
        <v>0.70802919708029199</v>
      </c>
      <c r="AX172" s="179">
        <f t="shared" si="241"/>
        <v>1.7229473684210526</v>
      </c>
      <c r="AY172" s="179">
        <f t="shared" si="242"/>
        <v>7.1049376017362983E-2</v>
      </c>
      <c r="AZ172" s="179">
        <f t="shared" si="246"/>
        <v>24.250000000000004</v>
      </c>
      <c r="BD172" s="179">
        <f t="shared" si="247"/>
        <v>0.23643719359750387</v>
      </c>
      <c r="BE172" s="179">
        <f t="shared" si="243"/>
        <v>0.15183081538855006</v>
      </c>
      <c r="BG172" s="546">
        <f t="shared" si="282"/>
        <v>1.9565891280692232E-2</v>
      </c>
      <c r="BH172" s="546">
        <f t="shared" si="283"/>
        <v>3.8696808510638302E-2</v>
      </c>
      <c r="BI172" s="546">
        <f t="shared" si="284"/>
        <v>3.8691225217784737E-3</v>
      </c>
      <c r="BJ172" s="546">
        <f t="shared" si="285"/>
        <v>1.8154890152815045E-2</v>
      </c>
      <c r="BK172">
        <f t="shared" si="286"/>
        <v>2.8999999999999998E-3</v>
      </c>
      <c r="BM172" s="472">
        <f t="shared" si="287"/>
        <v>83.186712465924046</v>
      </c>
      <c r="BN172" s="546">
        <f t="shared" si="288"/>
        <v>2.0459999999999999E-2</v>
      </c>
      <c r="BQ172" s="472">
        <f t="shared" si="289"/>
        <v>20.459999999999997</v>
      </c>
      <c r="BR172" s="546">
        <f t="shared" si="290"/>
        <v>1.1180509303252706E-2</v>
      </c>
      <c r="BS172" s="546">
        <f t="shared" si="291"/>
        <v>4.6105193003103942E-3</v>
      </c>
      <c r="BT172" s="546">
        <f t="shared" si="292"/>
        <v>1.3926862161630854E-2</v>
      </c>
      <c r="BU172" s="546"/>
      <c r="BV172" s="546">
        <f t="shared" si="293"/>
        <v>1.3563628219484885E-2</v>
      </c>
      <c r="BW172" s="472">
        <f t="shared" si="294"/>
        <v>43.28151898467884</v>
      </c>
      <c r="BX172" s="179">
        <f t="shared" si="295"/>
        <v>0.14692823145060291</v>
      </c>
      <c r="BY172" s="6">
        <f t="shared" si="296"/>
        <v>1.6368</v>
      </c>
      <c r="BZ172" s="179">
        <f t="shared" si="297"/>
        <v>0.917628577683544</v>
      </c>
      <c r="CA172" s="6">
        <f t="shared" si="298"/>
        <v>91.762857768354394</v>
      </c>
      <c r="CD172" s="581">
        <f t="shared" si="276"/>
        <v>-50</v>
      </c>
      <c r="CE172">
        <f t="shared" si="277"/>
        <v>-50</v>
      </c>
    </row>
    <row r="173" spans="5:83" x14ac:dyDescent="0.2">
      <c r="E173" s="176">
        <v>63</v>
      </c>
      <c r="F173" s="223">
        <f t="shared" si="278"/>
        <v>6.93E-2</v>
      </c>
      <c r="G173" s="223"/>
      <c r="H173" s="223">
        <f t="shared" si="248"/>
        <v>1.6632</v>
      </c>
      <c r="I173" s="559">
        <f t="shared" si="249"/>
        <v>10</v>
      </c>
      <c r="J173" s="454">
        <f t="shared" si="250"/>
        <v>24.25</v>
      </c>
      <c r="K173" s="454">
        <f t="shared" si="251"/>
        <v>34.25</v>
      </c>
      <c r="L173" s="454"/>
      <c r="M173" s="223">
        <f t="shared" si="252"/>
        <v>0.70802919708029199</v>
      </c>
      <c r="N173" s="178">
        <f t="shared" si="253"/>
        <v>4.8765510948905106</v>
      </c>
      <c r="O173" s="178">
        <f t="shared" si="244"/>
        <v>1.6632</v>
      </c>
      <c r="P173" s="223">
        <f t="shared" si="254"/>
        <v>0.20318962895377127</v>
      </c>
      <c r="Q173" s="223">
        <f t="shared" si="255"/>
        <v>24</v>
      </c>
      <c r="R173" s="223"/>
      <c r="S173" s="178">
        <f t="shared" si="256"/>
        <v>89.414606068355752</v>
      </c>
      <c r="T173" s="178">
        <f t="shared" si="257"/>
        <v>24</v>
      </c>
      <c r="U173" s="223">
        <f t="shared" si="258"/>
        <v>0.49453803581117739</v>
      </c>
      <c r="V173" s="223">
        <f t="shared" si="259"/>
        <v>2.3243287683125335</v>
      </c>
      <c r="W173" s="223">
        <f t="shared" si="260"/>
        <v>0.958486090025787</v>
      </c>
      <c r="X173" s="203">
        <f t="shared" si="261"/>
        <v>350</v>
      </c>
      <c r="Y173" s="454">
        <f t="shared" si="279"/>
        <v>304.6166302860513</v>
      </c>
      <c r="AA173" s="223">
        <f t="shared" si="262"/>
        <v>0.43041288576309544</v>
      </c>
      <c r="AB173" s="179">
        <f t="shared" si="263"/>
        <v>0.83420229405630864</v>
      </c>
      <c r="AC173" s="179">
        <f t="shared" si="264"/>
        <v>6.2833997921619769E-2</v>
      </c>
      <c r="AD173" s="179"/>
      <c r="AE173" s="179">
        <f t="shared" si="265"/>
        <v>0.56206185567010303</v>
      </c>
      <c r="AF173" s="563">
        <f t="shared" si="266"/>
        <v>850.31750449060155</v>
      </c>
      <c r="AG173" s="546">
        <f t="shared" si="267"/>
        <v>2.8524639175257726E-2</v>
      </c>
      <c r="AI173" s="179">
        <f t="shared" si="268"/>
        <v>0.45201675736212504</v>
      </c>
      <c r="AJ173" s="179">
        <f t="shared" si="269"/>
        <v>0.49453803581117739</v>
      </c>
      <c r="AK173" s="179">
        <f t="shared" si="270"/>
        <v>1.3515096561564277</v>
      </c>
      <c r="AM173" s="563">
        <f t="shared" si="271"/>
        <v>69.3</v>
      </c>
      <c r="AN173" s="472">
        <f t="shared" si="272"/>
        <v>304.6166302860513</v>
      </c>
      <c r="AP173">
        <f t="shared" si="273"/>
        <v>69.3</v>
      </c>
      <c r="AQ173">
        <f t="shared" si="274"/>
        <v>304.6166302860513</v>
      </c>
      <c r="AS173" s="6">
        <f t="shared" si="245"/>
        <v>3.2828148583383205</v>
      </c>
      <c r="AT173" s="6">
        <f t="shared" si="275"/>
        <v>2.3243287683125335</v>
      </c>
      <c r="AU173" s="6">
        <f t="shared" si="280"/>
        <v>0.958486090025787</v>
      </c>
      <c r="AV173" s="6"/>
      <c r="AW173" s="179">
        <f t="shared" si="281"/>
        <v>0.70802919708029199</v>
      </c>
      <c r="AX173" s="179">
        <f t="shared" si="241"/>
        <v>1.7507368421052631</v>
      </c>
      <c r="AY173" s="179">
        <f t="shared" si="242"/>
        <v>7.2195333695062383E-2</v>
      </c>
      <c r="AZ173" s="179">
        <f t="shared" si="246"/>
        <v>24.250000000000004</v>
      </c>
      <c r="BD173" s="179">
        <f t="shared" si="247"/>
        <v>0.24025069672004426</v>
      </c>
      <c r="BE173" s="179">
        <f t="shared" si="243"/>
        <v>0.15427969950772022</v>
      </c>
      <c r="BG173" s="546">
        <f t="shared" si="282"/>
        <v>2.0202139046063338E-2</v>
      </c>
      <c r="BH173" s="546">
        <f t="shared" si="283"/>
        <v>3.8696808510638302E-2</v>
      </c>
      <c r="BI173" s="546">
        <f t="shared" si="284"/>
        <v>3.8077078785756411E-3</v>
      </c>
      <c r="BJ173" s="546">
        <f t="shared" si="285"/>
        <v>1.7866717293246553E-2</v>
      </c>
      <c r="BK173">
        <f t="shared" si="286"/>
        <v>2.8999999999999998E-3</v>
      </c>
      <c r="BM173" s="472">
        <f t="shared" si="287"/>
        <v>83.473372728523827</v>
      </c>
      <c r="BN173" s="546">
        <f t="shared" si="288"/>
        <v>2.0789999999999999E-2</v>
      </c>
      <c r="BQ173" s="472">
        <f t="shared" si="289"/>
        <v>20.79</v>
      </c>
      <c r="BR173" s="546">
        <f t="shared" si="290"/>
        <v>1.1544079454893337E-2</v>
      </c>
      <c r="BS173" s="546">
        <f t="shared" si="291"/>
        <v>4.7604451360384898E-3</v>
      </c>
      <c r="BT173" s="546">
        <f t="shared" si="292"/>
        <v>1.392686216163086E-2</v>
      </c>
      <c r="BU173" s="546"/>
      <c r="BV173" s="546">
        <f t="shared" si="293"/>
        <v>1.3782396416573351E-2</v>
      </c>
      <c r="BW173" s="472">
        <f t="shared" si="294"/>
        <v>44.01378316913604</v>
      </c>
      <c r="BX173" s="179">
        <f t="shared" si="295"/>
        <v>0.14827715589765988</v>
      </c>
      <c r="BY173" s="6">
        <f t="shared" si="296"/>
        <v>1.6632</v>
      </c>
      <c r="BZ173" s="179">
        <f t="shared" si="297"/>
        <v>0.91814572134409134</v>
      </c>
      <c r="CA173" s="6">
        <f t="shared" si="298"/>
        <v>91.814572134409133</v>
      </c>
      <c r="CD173" s="581">
        <f t="shared" si="276"/>
        <v>-50</v>
      </c>
      <c r="CE173">
        <f t="shared" si="277"/>
        <v>-50</v>
      </c>
    </row>
    <row r="174" spans="5:83" x14ac:dyDescent="0.2">
      <c r="E174" s="176">
        <v>64</v>
      </c>
      <c r="F174" s="223">
        <f t="shared" si="278"/>
        <v>7.0400000000000004E-2</v>
      </c>
      <c r="G174" s="223"/>
      <c r="H174" s="223">
        <f t="shared" ref="H174:H205" si="299">F174*Vout</f>
        <v>1.6896</v>
      </c>
      <c r="I174" s="559">
        <f t="shared" ref="I174:I210" si="300">VIN_min</f>
        <v>10</v>
      </c>
      <c r="J174" s="454">
        <f t="shared" ref="J174:J210" si="301">(T174+Vfwd1)*Nps</f>
        <v>24.25</v>
      </c>
      <c r="K174" s="454">
        <f t="shared" ref="K174:K210" si="302">(Vout+Vfwd1)*Nps+I174</f>
        <v>34.25</v>
      </c>
      <c r="L174" s="454"/>
      <c r="M174" s="223">
        <f t="shared" ref="M174:M210" si="303">(Vout+Vfwd1)*Nps/((Vout+Vfwd1)*Nps+I174)</f>
        <v>0.70802919708029199</v>
      </c>
      <c r="N174" s="178">
        <f t="shared" ref="N174:N205" si="304">M174*I174*Isw_max*0.5*Efficiency</f>
        <v>4.8765510948905106</v>
      </c>
      <c r="O174" s="178">
        <f t="shared" si="244"/>
        <v>1.6896</v>
      </c>
      <c r="P174" s="223">
        <f t="shared" ref="P174:P205" si="305">N174/Vout</f>
        <v>0.20318962895377127</v>
      </c>
      <c r="Q174" s="223">
        <f t="shared" ref="Q174:Q210" si="306">MIN(Vout,N174/F174)</f>
        <v>24</v>
      </c>
      <c r="R174" s="223"/>
      <c r="S174" s="178">
        <f t="shared" ref="S174:S210" si="307">(SQRT(Isw_max^2*Nps^2*I174^2+4*Isw_max*F174/Efficiency*(Nps^2*Vfwd1*I174-Nps*I174^2)+4*(F174/Efficiency)^2*Nps^2*Vfwd1^2+8*(F174/Efficiency)^2*Nps*Vfwd1*I174+4*(F174/Efficiency)^2*I174^2)-2*F174/Efficiency*I174-2*F174/Efficiency*Nps*Vfwd1+Isw_max*Nps*I174)/(4*F174/Efficiency*Nps)</f>
        <v>87.862179740147582</v>
      </c>
      <c r="T174" s="178">
        <f t="shared" ref="T174:T205" si="308">MIN(Vout, S174)</f>
        <v>24</v>
      </c>
      <c r="U174" s="223">
        <f t="shared" ref="U174:U210" si="309">MIN(2*Vout*F174/(Efficiency*I174*M174), Isw_max)</f>
        <v>0.50238784590341834</v>
      </c>
      <c r="V174" s="223">
        <f t="shared" ref="V174:V205" si="310">L*U174/I174*1000000</f>
        <v>2.361222875746066</v>
      </c>
      <c r="W174" s="223">
        <f t="shared" ref="W174:W210" si="311">L*U174/J174*1000000</f>
        <v>0.97370015494683149</v>
      </c>
      <c r="X174" s="203">
        <f t="shared" ref="X174:X210" si="312">IF(1/((350000*L)*(1/I174+1/J174))&gt;Isw_min, 350, 0.001/((Isw_min*L)*(1/I174+1/J174)))</f>
        <v>350</v>
      </c>
      <c r="Y174" s="454">
        <f t="shared" si="279"/>
        <v>299.8569954378317</v>
      </c>
      <c r="AA174" s="223">
        <f t="shared" ref="AA174:AA210" si="313">1/((X174*1000*L)*(1/I174+1/J174))</f>
        <v>0.43041288576309544</v>
      </c>
      <c r="AB174" s="179">
        <f t="shared" ref="AB174:AB205" si="314">L*AA174/J174*1000000</f>
        <v>0.83420229405630864</v>
      </c>
      <c r="AC174" s="179">
        <f t="shared" ref="AC174:AC205" si="315">0.5*AB174*AA174*Nps*X174/1000</f>
        <v>6.2833997921619769E-2</v>
      </c>
      <c r="AD174" s="179"/>
      <c r="AE174" s="179">
        <f t="shared" ref="AE174:AE210" si="316">L*Isw_min/J174*1000000</f>
        <v>0.56206185567010303</v>
      </c>
      <c r="AF174" s="563">
        <f t="shared" ref="AF174:AF205" si="317">MAX(10000,F174/(0.5*AE174/1000000*Isw_min*Nps))/1000</f>
        <v>863.81460773648416</v>
      </c>
      <c r="AG174" s="546">
        <f t="shared" ref="AG174:AG210" si="318">0.5*AE174/1000000*Isw_min*Nps*X174*1000</f>
        <v>2.8524639175257726E-2</v>
      </c>
      <c r="AI174" s="179">
        <f t="shared" ref="AI174:AI210" si="319">SQRT(F174/(0.5*L/J174*Fsw_DCM*Nps))</f>
        <v>0.45559006796724089</v>
      </c>
      <c r="AJ174" s="179">
        <f t="shared" ref="AJ174:AJ205" si="320">MAX(IF(F174&gt;AC174,U174,AI174),Isw_min)</f>
        <v>0.50238784590341834</v>
      </c>
      <c r="AK174" s="179">
        <f t="shared" ref="AK174:AK205" si="321">IF(F174&gt;AG174, (AJ174-Isw_min)/1.08*0.8+1.2, AF174*0.2/350+1)</f>
        <v>1.3573243302988285</v>
      </c>
      <c r="AM174" s="563">
        <f t="shared" ref="AM174:AM210" si="322">F174*1000</f>
        <v>70.400000000000006</v>
      </c>
      <c r="AN174" s="472">
        <f t="shared" ref="AN174:AN210" si="323">IF(F174&gt;AG174, Y174, AF174)</f>
        <v>299.8569954378317</v>
      </c>
      <c r="AP174">
        <f t="shared" ref="AP174:AP210" si="324">IF(H174&gt;N174, "",AM174)</f>
        <v>70.400000000000006</v>
      </c>
      <c r="AQ174">
        <f t="shared" ref="AQ174:AQ210" si="325">IF(H174&gt;N174, "",AN174)</f>
        <v>299.8569954378317</v>
      </c>
      <c r="AS174" s="6">
        <f t="shared" si="245"/>
        <v>3.3349230306928974</v>
      </c>
      <c r="AT174" s="6">
        <f t="shared" ref="AT174:AT210" si="326">L*AJ174/I174*1000000</f>
        <v>2.361222875746066</v>
      </c>
      <c r="AU174" s="6">
        <f t="shared" si="280"/>
        <v>0.97370015494683138</v>
      </c>
      <c r="AV174" s="6"/>
      <c r="AW174" s="179">
        <f t="shared" si="281"/>
        <v>0.70802919708029199</v>
      </c>
      <c r="AX174" s="179">
        <f t="shared" si="241"/>
        <v>1.7785263157894737</v>
      </c>
      <c r="AY174" s="179">
        <f t="shared" si="242"/>
        <v>7.3341291372761797E-2</v>
      </c>
      <c r="AZ174" s="179">
        <f t="shared" si="246"/>
        <v>24.250000000000004</v>
      </c>
      <c r="BD174" s="179">
        <f t="shared" si="247"/>
        <v>0.24406419984258465</v>
      </c>
      <c r="BE174" s="179">
        <f t="shared" si="243"/>
        <v>0.15672858362689038</v>
      </c>
      <c r="BG174" s="546">
        <f t="shared" si="282"/>
        <v>2.0848566775680383E-2</v>
      </c>
      <c r="BH174" s="546">
        <f t="shared" si="283"/>
        <v>3.8696808510638295E-2</v>
      </c>
      <c r="BI174" s="546">
        <f t="shared" si="284"/>
        <v>3.7482124429728961E-3</v>
      </c>
      <c r="BJ174" s="546">
        <f t="shared" si="285"/>
        <v>1.7587549835539572E-2</v>
      </c>
      <c r="BK174">
        <f t="shared" si="286"/>
        <v>2.8999999999999998E-3</v>
      </c>
      <c r="BM174" s="472">
        <f t="shared" si="287"/>
        <v>83.781137564831141</v>
      </c>
      <c r="BN174" s="546">
        <f t="shared" si="288"/>
        <v>2.112E-2</v>
      </c>
      <c r="BQ174" s="472">
        <f t="shared" si="289"/>
        <v>21.12</v>
      </c>
      <c r="BR174" s="546">
        <f t="shared" si="290"/>
        <v>1.191346672896022E-2</v>
      </c>
      <c r="BS174" s="546">
        <f t="shared" si="291"/>
        <v>4.9127697851382348E-3</v>
      </c>
      <c r="BT174" s="546">
        <f t="shared" si="292"/>
        <v>1.3926862161630848E-2</v>
      </c>
      <c r="BU174" s="546"/>
      <c r="BV174" s="546">
        <f t="shared" si="293"/>
        <v>1.4001164613661816E-2</v>
      </c>
      <c r="BW174" s="472">
        <f t="shared" si="294"/>
        <v>44.754263289391112</v>
      </c>
      <c r="BX174" s="179">
        <f t="shared" si="295"/>
        <v>0.14965540085422227</v>
      </c>
      <c r="BY174" s="6">
        <f t="shared" si="296"/>
        <v>1.6896</v>
      </c>
      <c r="BZ174" s="179">
        <f t="shared" si="297"/>
        <v>0.91863261579402378</v>
      </c>
      <c r="CA174" s="6">
        <f t="shared" si="298"/>
        <v>91.863261579402376</v>
      </c>
      <c r="CD174" s="581">
        <f t="shared" ref="CD174:CD210" si="327">IF(ABS(F174-Ioutmax_Vinmin)&lt;Iout/200, AN174, -50)</f>
        <v>-50</v>
      </c>
      <c r="CE174">
        <f t="shared" ref="CE174:CE210" si="328">IF(ABS(F174-Ioutmax_Vinmin)&lt;Iout/200, N174*BZ174, -50)</f>
        <v>-50</v>
      </c>
    </row>
    <row r="175" spans="5:83" x14ac:dyDescent="0.2">
      <c r="E175" s="176">
        <v>65</v>
      </c>
      <c r="F175" s="223">
        <f t="shared" ref="F175:F206" si="329">IF(PLOT_TYPE=1, E175/100*Iout_max, min_I*EXP(N175*rr/100))</f>
        <v>7.1500000000000008E-2</v>
      </c>
      <c r="G175" s="223"/>
      <c r="H175" s="223">
        <f t="shared" si="299"/>
        <v>1.7160000000000002</v>
      </c>
      <c r="I175" s="559">
        <f t="shared" si="300"/>
        <v>10</v>
      </c>
      <c r="J175" s="454">
        <f t="shared" si="301"/>
        <v>24.25</v>
      </c>
      <c r="K175" s="454">
        <f t="shared" si="302"/>
        <v>34.25</v>
      </c>
      <c r="L175" s="454"/>
      <c r="M175" s="223">
        <f t="shared" si="303"/>
        <v>0.70802919708029199</v>
      </c>
      <c r="N175" s="178">
        <f t="shared" si="304"/>
        <v>4.8765510948905106</v>
      </c>
      <c r="O175" s="178">
        <f t="shared" si="244"/>
        <v>1.7160000000000002</v>
      </c>
      <c r="P175" s="223">
        <f t="shared" si="305"/>
        <v>0.20318962895377127</v>
      </c>
      <c r="Q175" s="223">
        <f t="shared" si="306"/>
        <v>24</v>
      </c>
      <c r="R175" s="223"/>
      <c r="S175" s="178">
        <f t="shared" si="307"/>
        <v>86.357537176627503</v>
      </c>
      <c r="T175" s="178">
        <f t="shared" si="308"/>
        <v>24</v>
      </c>
      <c r="U175" s="223">
        <f t="shared" si="309"/>
        <v>0.51023765599565929</v>
      </c>
      <c r="V175" s="223">
        <f t="shared" si="310"/>
        <v>2.3981169831795985</v>
      </c>
      <c r="W175" s="223">
        <f t="shared" si="311"/>
        <v>0.98891421986787564</v>
      </c>
      <c r="X175" s="203">
        <f t="shared" si="312"/>
        <v>350</v>
      </c>
      <c r="Y175" s="454">
        <f t="shared" si="279"/>
        <v>295.24381089263426</v>
      </c>
      <c r="AA175" s="223">
        <f t="shared" si="313"/>
        <v>0.43041288576309544</v>
      </c>
      <c r="AB175" s="179">
        <f t="shared" si="314"/>
        <v>0.83420229405630864</v>
      </c>
      <c r="AC175" s="179">
        <f t="shared" si="315"/>
        <v>6.2833997921619769E-2</v>
      </c>
      <c r="AD175" s="179"/>
      <c r="AE175" s="179">
        <f t="shared" si="316"/>
        <v>0.56206185567010303</v>
      </c>
      <c r="AF175" s="563">
        <f t="shared" si="317"/>
        <v>877.31171098236678</v>
      </c>
      <c r="AG175" s="546">
        <f t="shared" si="318"/>
        <v>2.8524639175257726E-2</v>
      </c>
      <c r="AI175" s="179">
        <f t="shared" si="319"/>
        <v>0.45913556943959388</v>
      </c>
      <c r="AJ175" s="179">
        <f t="shared" si="320"/>
        <v>0.51023765599565929</v>
      </c>
      <c r="AK175" s="179">
        <f t="shared" si="321"/>
        <v>1.363139004441229</v>
      </c>
      <c r="AM175" s="563">
        <f t="shared" si="322"/>
        <v>71.500000000000014</v>
      </c>
      <c r="AN175" s="472">
        <f t="shared" si="323"/>
        <v>295.24381089263426</v>
      </c>
      <c r="AP175">
        <f t="shared" si="324"/>
        <v>71.500000000000014</v>
      </c>
      <c r="AQ175">
        <f t="shared" si="325"/>
        <v>295.24381089263426</v>
      </c>
      <c r="AS175" s="6">
        <f t="shared" si="245"/>
        <v>3.3870312030474743</v>
      </c>
      <c r="AT175" s="6">
        <f t="shared" si="326"/>
        <v>2.3981169831795985</v>
      </c>
      <c r="AU175" s="6">
        <f t="shared" si="280"/>
        <v>0.98891421986787575</v>
      </c>
      <c r="AV175" s="6"/>
      <c r="AW175" s="179">
        <f t="shared" si="281"/>
        <v>0.70802919708029199</v>
      </c>
      <c r="AX175" s="179">
        <f t="shared" si="241"/>
        <v>1.8063157894736845</v>
      </c>
      <c r="AY175" s="179">
        <f t="shared" si="242"/>
        <v>7.448724905046121E-2</v>
      </c>
      <c r="AZ175" s="179">
        <f t="shared" si="246"/>
        <v>24.250000000000004</v>
      </c>
      <c r="BD175" s="179">
        <f t="shared" si="247"/>
        <v>0.24787770296512507</v>
      </c>
      <c r="BE175" s="179">
        <f t="shared" si="243"/>
        <v>0.15917746774606056</v>
      </c>
      <c r="BG175" s="546">
        <f t="shared" si="282"/>
        <v>2.1505174469543368E-2</v>
      </c>
      <c r="BH175" s="546">
        <f t="shared" si="283"/>
        <v>3.8696808510638295E-2</v>
      </c>
      <c r="BI175" s="546">
        <f t="shared" si="284"/>
        <v>3.6905476361579282E-3</v>
      </c>
      <c r="BJ175" s="546">
        <f t="shared" si="285"/>
        <v>1.7316972145762038E-2</v>
      </c>
      <c r="BK175">
        <f t="shared" si="286"/>
        <v>2.8999999999999998E-3</v>
      </c>
      <c r="BM175" s="472">
        <f t="shared" si="287"/>
        <v>84.109502762101641</v>
      </c>
      <c r="BN175" s="546">
        <f t="shared" si="288"/>
        <v>2.145E-2</v>
      </c>
      <c r="BQ175" s="472">
        <f t="shared" si="289"/>
        <v>21.45</v>
      </c>
      <c r="BR175" s="546">
        <f t="shared" si="290"/>
        <v>1.2288671125453355E-2</v>
      </c>
      <c r="BS175" s="546">
        <f t="shared" si="291"/>
        <v>5.06749324760963E-3</v>
      </c>
      <c r="BT175" s="546">
        <f t="shared" si="292"/>
        <v>1.3926862161630834E-2</v>
      </c>
      <c r="BU175" s="546"/>
      <c r="BV175" s="546">
        <f t="shared" si="293"/>
        <v>1.4219932810750282E-2</v>
      </c>
      <c r="BW175" s="472">
        <f t="shared" si="294"/>
        <v>45.502959345444097</v>
      </c>
      <c r="BX175" s="179">
        <f t="shared" si="295"/>
        <v>0.15106246210754576</v>
      </c>
      <c r="BY175" s="6">
        <f t="shared" si="296"/>
        <v>1.7160000000000002</v>
      </c>
      <c r="BZ175" s="179">
        <f t="shared" si="297"/>
        <v>0.91909083644848921</v>
      </c>
      <c r="CA175" s="6">
        <f t="shared" si="298"/>
        <v>91.90908364484892</v>
      </c>
      <c r="CD175" s="581">
        <f t="shared" si="327"/>
        <v>-50</v>
      </c>
      <c r="CE175">
        <f t="shared" si="328"/>
        <v>-50</v>
      </c>
    </row>
    <row r="176" spans="5:83" x14ac:dyDescent="0.2">
      <c r="E176" s="176">
        <v>66</v>
      </c>
      <c r="F176" s="223">
        <f t="shared" si="329"/>
        <v>7.2599999999999998E-2</v>
      </c>
      <c r="G176" s="223"/>
      <c r="H176" s="223">
        <f t="shared" si="299"/>
        <v>1.7423999999999999</v>
      </c>
      <c r="I176" s="559">
        <f t="shared" si="300"/>
        <v>10</v>
      </c>
      <c r="J176" s="454">
        <f t="shared" si="301"/>
        <v>24.25</v>
      </c>
      <c r="K176" s="454">
        <f t="shared" si="302"/>
        <v>34.25</v>
      </c>
      <c r="L176" s="454"/>
      <c r="M176" s="223">
        <f t="shared" si="303"/>
        <v>0.70802919708029199</v>
      </c>
      <c r="N176" s="178">
        <f t="shared" si="304"/>
        <v>4.8765510948905106</v>
      </c>
      <c r="O176" s="178">
        <f t="shared" si="244"/>
        <v>1.7423999999999999</v>
      </c>
      <c r="P176" s="223">
        <f t="shared" si="305"/>
        <v>0.20318962895377127</v>
      </c>
      <c r="Q176" s="223">
        <f t="shared" si="306"/>
        <v>24</v>
      </c>
      <c r="R176" s="223"/>
      <c r="S176" s="178">
        <f t="shared" si="307"/>
        <v>84.898506473514772</v>
      </c>
      <c r="T176" s="554">
        <f t="shared" si="308"/>
        <v>24</v>
      </c>
      <c r="U176" s="223">
        <f t="shared" si="309"/>
        <v>0.51808746608790013</v>
      </c>
      <c r="V176" s="223">
        <f t="shared" si="310"/>
        <v>2.4350110906131306</v>
      </c>
      <c r="W176" s="223">
        <f t="shared" si="311"/>
        <v>1.0041282847889197</v>
      </c>
      <c r="X176" s="203">
        <f t="shared" si="312"/>
        <v>350</v>
      </c>
      <c r="Y176" s="454">
        <f t="shared" si="279"/>
        <v>290.77041981850351</v>
      </c>
      <c r="AA176" s="223">
        <f t="shared" si="313"/>
        <v>0.43041288576309544</v>
      </c>
      <c r="AB176" s="179">
        <f t="shared" si="314"/>
        <v>0.83420229405630864</v>
      </c>
      <c r="AC176" s="179">
        <f t="shared" si="315"/>
        <v>6.2833997921619769E-2</v>
      </c>
      <c r="AD176" s="179"/>
      <c r="AE176" s="179">
        <f t="shared" si="316"/>
        <v>0.56206185567010303</v>
      </c>
      <c r="AF176" s="563">
        <f t="shared" si="317"/>
        <v>890.80881422824928</v>
      </c>
      <c r="AG176" s="546">
        <f t="shared" si="318"/>
        <v>2.8524639175257726E-2</v>
      </c>
      <c r="AI176" s="179">
        <f t="shared" si="319"/>
        <v>0.46265390111707155</v>
      </c>
      <c r="AJ176" s="179">
        <f t="shared" si="320"/>
        <v>0.51808746608790013</v>
      </c>
      <c r="AK176" s="179">
        <f t="shared" si="321"/>
        <v>1.3689536785836296</v>
      </c>
      <c r="AM176" s="563">
        <f t="shared" si="322"/>
        <v>72.599999999999994</v>
      </c>
      <c r="AN176" s="472">
        <f t="shared" si="323"/>
        <v>290.77041981850351</v>
      </c>
      <c r="AP176">
        <f t="shared" si="324"/>
        <v>72.599999999999994</v>
      </c>
      <c r="AQ176">
        <f t="shared" si="325"/>
        <v>290.77041981850351</v>
      </c>
      <c r="AS176" s="6">
        <f t="shared" si="245"/>
        <v>3.4391393754020503</v>
      </c>
      <c r="AT176" s="6">
        <f t="shared" si="326"/>
        <v>2.4350110906131306</v>
      </c>
      <c r="AU176" s="6">
        <f t="shared" si="280"/>
        <v>1.0041282847889197</v>
      </c>
      <c r="AV176" s="6"/>
      <c r="AW176" s="179">
        <f t="shared" si="281"/>
        <v>0.70802919708029199</v>
      </c>
      <c r="AX176" s="179">
        <f t="shared" si="241"/>
        <v>1.8341052631578949</v>
      </c>
      <c r="AY176" s="179">
        <f t="shared" si="242"/>
        <v>7.5633206728160596E-2</v>
      </c>
      <c r="AZ176" s="179">
        <f t="shared" si="246"/>
        <v>24.250000000000007</v>
      </c>
      <c r="BD176" s="179">
        <f t="shared" si="247"/>
        <v>0.25169120608766543</v>
      </c>
      <c r="BE176" s="179">
        <f t="shared" si="243"/>
        <v>0.16162635186523069</v>
      </c>
      <c r="BG176" s="546">
        <f t="shared" si="282"/>
        <v>2.2171962127652284E-2</v>
      </c>
      <c r="BH176" s="546">
        <f t="shared" si="283"/>
        <v>3.8696808510638302E-2</v>
      </c>
      <c r="BI176" s="546">
        <f t="shared" si="284"/>
        <v>3.6346302477312936E-3</v>
      </c>
      <c r="BJ176" s="546">
        <f t="shared" si="285"/>
        <v>1.7054593779917165E-2</v>
      </c>
      <c r="BK176">
        <f t="shared" si="286"/>
        <v>2.8999999999999998E-3</v>
      </c>
      <c r="BM176" s="472">
        <f t="shared" si="287"/>
        <v>84.457994665939054</v>
      </c>
      <c r="BN176" s="546">
        <f t="shared" si="288"/>
        <v>2.1779999999999997E-2</v>
      </c>
      <c r="BQ176" s="472">
        <f t="shared" si="289"/>
        <v>21.779999999999998</v>
      </c>
      <c r="BR176" s="546">
        <f t="shared" si="290"/>
        <v>1.2669692644372735E-2</v>
      </c>
      <c r="BS176" s="546">
        <f t="shared" si="291"/>
        <v>5.224615523452672E-3</v>
      </c>
      <c r="BT176" s="546">
        <f t="shared" si="292"/>
        <v>1.3926862161630839E-2</v>
      </c>
      <c r="BU176" s="546"/>
      <c r="BV176" s="546">
        <f t="shared" si="293"/>
        <v>1.4438701007838749E-2</v>
      </c>
      <c r="BW176" s="472">
        <f t="shared" si="294"/>
        <v>46.259871337294996</v>
      </c>
      <c r="BX176" s="179">
        <f t="shared" si="295"/>
        <v>0.15249786600323403</v>
      </c>
      <c r="BY176" s="6">
        <f t="shared" si="296"/>
        <v>1.7423999999999999</v>
      </c>
      <c r="BZ176" s="179">
        <f t="shared" si="297"/>
        <v>0.91952185458687208</v>
      </c>
      <c r="CA176" s="6">
        <f t="shared" si="298"/>
        <v>91.952185458687211</v>
      </c>
      <c r="CD176" s="581">
        <f t="shared" si="327"/>
        <v>-50</v>
      </c>
      <c r="CE176">
        <f t="shared" si="328"/>
        <v>-50</v>
      </c>
    </row>
    <row r="177" spans="5:83" x14ac:dyDescent="0.2">
      <c r="E177" s="176">
        <v>67</v>
      </c>
      <c r="F177" s="223">
        <f t="shared" si="329"/>
        <v>7.3700000000000002E-2</v>
      </c>
      <c r="G177" s="223"/>
      <c r="H177" s="223">
        <f t="shared" si="299"/>
        <v>1.7688000000000001</v>
      </c>
      <c r="I177" s="559">
        <f t="shared" si="300"/>
        <v>10</v>
      </c>
      <c r="J177" s="454">
        <f t="shared" si="301"/>
        <v>24.25</v>
      </c>
      <c r="K177" s="454">
        <f t="shared" si="302"/>
        <v>34.25</v>
      </c>
      <c r="L177" s="454"/>
      <c r="M177" s="223">
        <f t="shared" si="303"/>
        <v>0.70802919708029199</v>
      </c>
      <c r="N177" s="178">
        <f t="shared" si="304"/>
        <v>4.8765510948905106</v>
      </c>
      <c r="O177" s="178">
        <f t="shared" si="244"/>
        <v>1.7688000000000001</v>
      </c>
      <c r="P177" s="223">
        <f t="shared" si="305"/>
        <v>0.20318962895377127</v>
      </c>
      <c r="Q177" s="223">
        <f t="shared" si="306"/>
        <v>24</v>
      </c>
      <c r="R177" s="223"/>
      <c r="S177" s="178">
        <f t="shared" si="307"/>
        <v>83.483045393011281</v>
      </c>
      <c r="T177" s="554">
        <f t="shared" si="308"/>
        <v>24</v>
      </c>
      <c r="U177" s="223">
        <f t="shared" si="309"/>
        <v>0.52593727618014108</v>
      </c>
      <c r="V177" s="223">
        <f t="shared" si="310"/>
        <v>2.4719051980466626</v>
      </c>
      <c r="W177" s="223">
        <f t="shared" si="311"/>
        <v>1.0193423497099641</v>
      </c>
      <c r="X177" s="203">
        <f t="shared" si="312"/>
        <v>350</v>
      </c>
      <c r="Y177" s="454">
        <f t="shared" si="279"/>
        <v>286.43056280628701</v>
      </c>
      <c r="AA177" s="223">
        <f t="shared" si="313"/>
        <v>0.43041288576309544</v>
      </c>
      <c r="AB177" s="179">
        <f t="shared" si="314"/>
        <v>0.83420229405630864</v>
      </c>
      <c r="AC177" s="179">
        <f t="shared" si="315"/>
        <v>6.2833997921619769E-2</v>
      </c>
      <c r="AD177" s="179"/>
      <c r="AE177" s="179">
        <f t="shared" si="316"/>
        <v>0.56206185567010303</v>
      </c>
      <c r="AF177" s="563">
        <f t="shared" si="317"/>
        <v>904.30591747413177</v>
      </c>
      <c r="AG177" s="546">
        <f t="shared" si="318"/>
        <v>2.8524639175257726E-2</v>
      </c>
      <c r="AI177" s="179">
        <f t="shared" si="319"/>
        <v>0.46614567820915165</v>
      </c>
      <c r="AJ177" s="179">
        <f t="shared" si="320"/>
        <v>0.52593727618014108</v>
      </c>
      <c r="AK177" s="179">
        <f t="shared" si="321"/>
        <v>1.3747683527260304</v>
      </c>
      <c r="AM177" s="563">
        <f t="shared" si="322"/>
        <v>73.7</v>
      </c>
      <c r="AN177" s="472">
        <f t="shared" si="323"/>
        <v>286.43056280628701</v>
      </c>
      <c r="AP177">
        <f t="shared" si="324"/>
        <v>73.7</v>
      </c>
      <c r="AQ177">
        <f t="shared" si="325"/>
        <v>286.43056280628701</v>
      </c>
      <c r="AS177" s="6">
        <f t="shared" si="245"/>
        <v>3.4912475477566267</v>
      </c>
      <c r="AT177" s="6">
        <f t="shared" si="326"/>
        <v>2.4719051980466626</v>
      </c>
      <c r="AU177" s="6">
        <f t="shared" si="280"/>
        <v>1.0193423497099641</v>
      </c>
      <c r="AV177" s="6"/>
      <c r="AW177" s="179">
        <f t="shared" si="281"/>
        <v>0.70802919708029199</v>
      </c>
      <c r="AX177" s="179">
        <f t="shared" si="241"/>
        <v>1.8618947368421053</v>
      </c>
      <c r="AY177" s="179">
        <f t="shared" si="242"/>
        <v>7.6779164405860009E-2</v>
      </c>
      <c r="AZ177" s="179">
        <f t="shared" si="246"/>
        <v>24.25</v>
      </c>
      <c r="BD177" s="179">
        <f t="shared" si="247"/>
        <v>0.25550470921020579</v>
      </c>
      <c r="BE177" s="179">
        <f t="shared" si="243"/>
        <v>0.16407523598440088</v>
      </c>
      <c r="BG177" s="546">
        <f t="shared" si="282"/>
        <v>2.2848929750007137E-2</v>
      </c>
      <c r="BH177" s="546">
        <f t="shared" si="283"/>
        <v>3.8696808510638302E-2</v>
      </c>
      <c r="BI177" s="546">
        <f t="shared" si="284"/>
        <v>3.5803820350785876E-3</v>
      </c>
      <c r="BJ177" s="546">
        <f t="shared" si="285"/>
        <v>1.6800047604097503E-2</v>
      </c>
      <c r="BK177">
        <f t="shared" si="286"/>
        <v>2.8999999999999998E-3</v>
      </c>
      <c r="BM177" s="472">
        <f t="shared" si="287"/>
        <v>84.826167899821527</v>
      </c>
      <c r="BN177" s="546">
        <f t="shared" si="288"/>
        <v>2.2110000000000001E-2</v>
      </c>
      <c r="BQ177" s="472">
        <f t="shared" si="289"/>
        <v>22.11</v>
      </c>
      <c r="BR177" s="546">
        <f t="shared" si="290"/>
        <v>1.3056531285718365E-2</v>
      </c>
      <c r="BS177" s="546">
        <f t="shared" si="291"/>
        <v>5.3841366126673677E-3</v>
      </c>
      <c r="BT177" s="546">
        <f t="shared" si="292"/>
        <v>1.3926862161630837E-2</v>
      </c>
      <c r="BU177" s="546"/>
      <c r="BV177" s="546">
        <f t="shared" si="293"/>
        <v>1.4657469204927213E-2</v>
      </c>
      <c r="BW177" s="472">
        <f t="shared" si="294"/>
        <v>47.024999264943787</v>
      </c>
      <c r="BX177" s="179">
        <f t="shared" si="295"/>
        <v>0.15396116716476532</v>
      </c>
      <c r="BY177" s="6">
        <f t="shared" si="296"/>
        <v>1.7688000000000001</v>
      </c>
      <c r="BZ177" s="179">
        <f t="shared" si="297"/>
        <v>0.91992704564977723</v>
      </c>
      <c r="CA177" s="6">
        <f t="shared" si="298"/>
        <v>91.992704564977728</v>
      </c>
      <c r="CD177" s="581">
        <f t="shared" si="327"/>
        <v>-50</v>
      </c>
      <c r="CE177">
        <f t="shared" si="328"/>
        <v>-50</v>
      </c>
    </row>
    <row r="178" spans="5:83" x14ac:dyDescent="0.2">
      <c r="E178" s="176">
        <v>68</v>
      </c>
      <c r="F178" s="223">
        <f t="shared" si="329"/>
        <v>7.4800000000000005E-2</v>
      </c>
      <c r="G178" s="223"/>
      <c r="H178" s="223">
        <f t="shared" si="299"/>
        <v>1.7952000000000001</v>
      </c>
      <c r="I178" s="559">
        <f t="shared" si="300"/>
        <v>10</v>
      </c>
      <c r="J178" s="454">
        <f t="shared" si="301"/>
        <v>24.25</v>
      </c>
      <c r="K178" s="454">
        <f t="shared" si="302"/>
        <v>34.25</v>
      </c>
      <c r="L178" s="454"/>
      <c r="M178" s="223">
        <f t="shared" si="303"/>
        <v>0.70802919708029199</v>
      </c>
      <c r="N178" s="178">
        <f t="shared" si="304"/>
        <v>4.8765510948905106</v>
      </c>
      <c r="O178" s="178">
        <f t="shared" si="244"/>
        <v>1.7952000000000001</v>
      </c>
      <c r="P178" s="223">
        <f t="shared" si="305"/>
        <v>0.20318962895377127</v>
      </c>
      <c r="Q178" s="223">
        <f t="shared" si="306"/>
        <v>24</v>
      </c>
      <c r="R178" s="223"/>
      <c r="S178" s="178">
        <f t="shared" si="307"/>
        <v>82.10923182950593</v>
      </c>
      <c r="T178" s="554">
        <f t="shared" si="308"/>
        <v>24</v>
      </c>
      <c r="U178" s="223">
        <f t="shared" si="309"/>
        <v>0.53378708627238203</v>
      </c>
      <c r="V178" s="223">
        <f t="shared" si="310"/>
        <v>2.5087993054801951</v>
      </c>
      <c r="W178" s="223">
        <f t="shared" si="311"/>
        <v>1.0345564146310082</v>
      </c>
      <c r="X178" s="203">
        <f t="shared" si="312"/>
        <v>350</v>
      </c>
      <c r="Y178" s="454">
        <f t="shared" si="279"/>
        <v>282.21834864737099</v>
      </c>
      <c r="AA178" s="223">
        <f t="shared" si="313"/>
        <v>0.43041288576309544</v>
      </c>
      <c r="AB178" s="179">
        <f t="shared" si="314"/>
        <v>0.83420229405630864</v>
      </c>
      <c r="AC178" s="179">
        <f t="shared" si="315"/>
        <v>6.2833997921619769E-2</v>
      </c>
      <c r="AD178" s="179"/>
      <c r="AE178" s="179">
        <f t="shared" si="316"/>
        <v>0.56206185567010303</v>
      </c>
      <c r="AF178" s="563">
        <f t="shared" si="317"/>
        <v>917.8030207200145</v>
      </c>
      <c r="AG178" s="546">
        <f t="shared" si="318"/>
        <v>2.8524639175257726E-2</v>
      </c>
      <c r="AI178" s="179">
        <f t="shared" si="319"/>
        <v>0.4696114930528158</v>
      </c>
      <c r="AJ178" s="179">
        <f t="shared" si="320"/>
        <v>0.53378708627238203</v>
      </c>
      <c r="AK178" s="179">
        <f t="shared" si="321"/>
        <v>1.3805830268684312</v>
      </c>
      <c r="AM178" s="563">
        <f t="shared" si="322"/>
        <v>74.800000000000011</v>
      </c>
      <c r="AN178" s="472">
        <f t="shared" si="323"/>
        <v>282.21834864737099</v>
      </c>
      <c r="AP178">
        <f t="shared" si="324"/>
        <v>74.800000000000011</v>
      </c>
      <c r="AQ178">
        <f t="shared" si="325"/>
        <v>282.21834864737099</v>
      </c>
      <c r="AS178" s="6">
        <f t="shared" si="245"/>
        <v>3.543355720111204</v>
      </c>
      <c r="AT178" s="6">
        <f t="shared" si="326"/>
        <v>2.5087993054801951</v>
      </c>
      <c r="AU178" s="6">
        <f t="shared" si="280"/>
        <v>1.0345564146310089</v>
      </c>
      <c r="AV178" s="6"/>
      <c r="AW178" s="179">
        <f t="shared" si="281"/>
        <v>0.70802919708029188</v>
      </c>
      <c r="AX178" s="179">
        <f t="shared" si="241"/>
        <v>1.8896842105263161</v>
      </c>
      <c r="AY178" s="179">
        <f t="shared" si="242"/>
        <v>7.7925122083559437E-2</v>
      </c>
      <c r="AZ178" s="179">
        <f t="shared" si="246"/>
        <v>24.249999999999996</v>
      </c>
      <c r="BD178" s="179">
        <f t="shared" si="247"/>
        <v>0.25931821233274621</v>
      </c>
      <c r="BE178" s="179">
        <f t="shared" si="243"/>
        <v>0.16652412010357107</v>
      </c>
      <c r="BG178" s="546">
        <f t="shared" si="282"/>
        <v>2.3536077336607935E-2</v>
      </c>
      <c r="BH178" s="546">
        <f t="shared" si="283"/>
        <v>3.8696808510638295E-2</v>
      </c>
      <c r="BI178" s="546">
        <f t="shared" si="284"/>
        <v>3.5277293580921374E-3</v>
      </c>
      <c r="BJ178" s="546">
        <f t="shared" si="285"/>
        <v>1.6552988080507831E-2</v>
      </c>
      <c r="BK178">
        <f t="shared" si="286"/>
        <v>2.8999999999999998E-3</v>
      </c>
      <c r="BM178" s="472">
        <f t="shared" si="287"/>
        <v>85.21360328584619</v>
      </c>
      <c r="BN178" s="546">
        <f t="shared" si="288"/>
        <v>2.2440000000000002E-2</v>
      </c>
      <c r="BQ178" s="472">
        <f t="shared" si="289"/>
        <v>22.44</v>
      </c>
      <c r="BR178" s="546">
        <f t="shared" si="290"/>
        <v>1.344918704949025E-2</v>
      </c>
      <c r="BS178" s="546">
        <f t="shared" si="291"/>
        <v>5.5460565152537127E-3</v>
      </c>
      <c r="BT178" s="546">
        <f t="shared" si="292"/>
        <v>1.3926862161630842E-2</v>
      </c>
      <c r="BU178" s="546"/>
      <c r="BV178" s="546">
        <f t="shared" si="293"/>
        <v>1.487623740201568E-2</v>
      </c>
      <c r="BW178" s="472">
        <f t="shared" si="294"/>
        <v>47.798343128390478</v>
      </c>
      <c r="BX178" s="179">
        <f t="shared" si="295"/>
        <v>0.15545194641423668</v>
      </c>
      <c r="BY178" s="6">
        <f t="shared" si="296"/>
        <v>1.7952000000000001</v>
      </c>
      <c r="BZ178" s="179">
        <f t="shared" si="297"/>
        <v>0.92030769676774249</v>
      </c>
      <c r="CA178" s="6">
        <f t="shared" si="298"/>
        <v>92.030769676774256</v>
      </c>
      <c r="CD178" s="581">
        <f t="shared" si="327"/>
        <v>-50</v>
      </c>
      <c r="CE178">
        <f t="shared" si="328"/>
        <v>-50</v>
      </c>
    </row>
    <row r="179" spans="5:83" x14ac:dyDescent="0.2">
      <c r="E179" s="176">
        <v>69</v>
      </c>
      <c r="F179" s="223">
        <f t="shared" si="329"/>
        <v>7.5899999999999995E-2</v>
      </c>
      <c r="G179" s="223"/>
      <c r="H179" s="223">
        <f t="shared" si="299"/>
        <v>1.8215999999999999</v>
      </c>
      <c r="I179" s="559">
        <f t="shared" si="300"/>
        <v>10</v>
      </c>
      <c r="J179" s="454">
        <f t="shared" si="301"/>
        <v>24.25</v>
      </c>
      <c r="K179" s="454">
        <f t="shared" si="302"/>
        <v>34.25</v>
      </c>
      <c r="L179" s="454"/>
      <c r="M179" s="223">
        <f t="shared" si="303"/>
        <v>0.70802919708029199</v>
      </c>
      <c r="N179" s="178">
        <f t="shared" si="304"/>
        <v>4.8765510948905106</v>
      </c>
      <c r="O179" s="178">
        <f t="shared" si="244"/>
        <v>1.8215999999999999</v>
      </c>
      <c r="P179" s="223">
        <f t="shared" si="305"/>
        <v>0.20318962895377127</v>
      </c>
      <c r="Q179" s="223">
        <f t="shared" si="306"/>
        <v>24</v>
      </c>
      <c r="R179" s="223"/>
      <c r="S179" s="178">
        <f t="shared" si="307"/>
        <v>80.775255104347849</v>
      </c>
      <c r="T179" s="554">
        <f t="shared" si="308"/>
        <v>24</v>
      </c>
      <c r="U179" s="223">
        <f t="shared" si="309"/>
        <v>0.54163689636462287</v>
      </c>
      <c r="V179" s="223">
        <f t="shared" si="310"/>
        <v>2.5456934129137272</v>
      </c>
      <c r="W179" s="223">
        <f t="shared" si="311"/>
        <v>1.0497704795520526</v>
      </c>
      <c r="X179" s="203">
        <f t="shared" si="312"/>
        <v>350</v>
      </c>
      <c r="Y179" s="454">
        <f t="shared" si="279"/>
        <v>278.1282276524816</v>
      </c>
      <c r="AA179" s="223">
        <f t="shared" si="313"/>
        <v>0.43041288576309544</v>
      </c>
      <c r="AB179" s="179">
        <f t="shared" si="314"/>
        <v>0.83420229405630864</v>
      </c>
      <c r="AC179" s="179">
        <f t="shared" si="315"/>
        <v>6.2833997921619769E-2</v>
      </c>
      <c r="AD179" s="179"/>
      <c r="AE179" s="179">
        <f t="shared" si="316"/>
        <v>0.56206185567010303</v>
      </c>
      <c r="AF179" s="563">
        <f t="shared" si="317"/>
        <v>931.30012396589689</v>
      </c>
      <c r="AG179" s="546">
        <f t="shared" si="318"/>
        <v>2.8524639175257726E-2</v>
      </c>
      <c r="AI179" s="179">
        <f t="shared" si="319"/>
        <v>0.4730519162856438</v>
      </c>
      <c r="AJ179" s="179">
        <f t="shared" si="320"/>
        <v>0.54163689636462287</v>
      </c>
      <c r="AK179" s="179">
        <f t="shared" si="321"/>
        <v>1.3863977010108317</v>
      </c>
      <c r="AM179" s="563">
        <f t="shared" si="322"/>
        <v>75.899999999999991</v>
      </c>
      <c r="AN179" s="472">
        <f t="shared" si="323"/>
        <v>278.1282276524816</v>
      </c>
      <c r="AP179">
        <f t="shared" si="324"/>
        <v>75.899999999999991</v>
      </c>
      <c r="AQ179">
        <f t="shared" si="325"/>
        <v>278.1282276524816</v>
      </c>
      <c r="AS179" s="6">
        <f t="shared" si="245"/>
        <v>3.5954638924657796</v>
      </c>
      <c r="AT179" s="6">
        <f t="shared" si="326"/>
        <v>2.5456934129137272</v>
      </c>
      <c r="AU179" s="6">
        <f t="shared" si="280"/>
        <v>1.0497704795520524</v>
      </c>
      <c r="AV179" s="6"/>
      <c r="AW179" s="179">
        <f t="shared" si="281"/>
        <v>0.70802919708029199</v>
      </c>
      <c r="AX179" s="179">
        <f t="shared" si="241"/>
        <v>1.9174736842105264</v>
      </c>
      <c r="AY179" s="179">
        <f t="shared" si="242"/>
        <v>7.9071079761258808E-2</v>
      </c>
      <c r="AZ179" s="179">
        <f t="shared" si="246"/>
        <v>24.250000000000004</v>
      </c>
      <c r="BD179" s="179">
        <f t="shared" si="247"/>
        <v>0.26313171545528657</v>
      </c>
      <c r="BE179" s="179">
        <f t="shared" si="243"/>
        <v>0.16897300422274117</v>
      </c>
      <c r="BG179" s="546">
        <f t="shared" si="282"/>
        <v>2.4233404887454665E-2</v>
      </c>
      <c r="BH179" s="546">
        <f t="shared" si="283"/>
        <v>3.8696808510638295E-2</v>
      </c>
      <c r="BI179" s="546">
        <f t="shared" si="284"/>
        <v>3.4766028456560197E-3</v>
      </c>
      <c r="BJ179" s="546">
        <f t="shared" si="285"/>
        <v>1.6313089702529461E-2</v>
      </c>
      <c r="BK179">
        <f t="shared" si="286"/>
        <v>2.8999999999999998E-3</v>
      </c>
      <c r="BM179" s="472">
        <f t="shared" si="287"/>
        <v>85.619905946278422</v>
      </c>
      <c r="BN179" s="546">
        <f t="shared" si="288"/>
        <v>2.2769999999999999E-2</v>
      </c>
      <c r="BQ179" s="472">
        <f t="shared" si="289"/>
        <v>22.77</v>
      </c>
      <c r="BR179" s="546">
        <f t="shared" si="290"/>
        <v>1.3847659935688381E-2</v>
      </c>
      <c r="BS179" s="546">
        <f t="shared" si="291"/>
        <v>5.710375231211701E-3</v>
      </c>
      <c r="BT179" s="546">
        <f t="shared" si="292"/>
        <v>1.3926862161630846E-2</v>
      </c>
      <c r="BU179" s="546"/>
      <c r="BV179" s="546">
        <f t="shared" si="293"/>
        <v>1.5095005599104145E-2</v>
      </c>
      <c r="BW179" s="472">
        <f t="shared" si="294"/>
        <v>48.579902927635068</v>
      </c>
      <c r="BX179" s="179">
        <f t="shared" si="295"/>
        <v>0.15696980887391349</v>
      </c>
      <c r="BY179" s="6">
        <f t="shared" si="296"/>
        <v>1.8215999999999999</v>
      </c>
      <c r="BZ179" s="179">
        <f t="shared" si="297"/>
        <v>0.92066501360229913</v>
      </c>
      <c r="CA179" s="6">
        <f t="shared" si="298"/>
        <v>92.066501360229907</v>
      </c>
      <c r="CD179" s="581">
        <f t="shared" si="327"/>
        <v>-50</v>
      </c>
      <c r="CE179">
        <f t="shared" si="328"/>
        <v>-50</v>
      </c>
    </row>
    <row r="180" spans="5:83" x14ac:dyDescent="0.2">
      <c r="E180" s="176">
        <v>70</v>
      </c>
      <c r="F180" s="223">
        <f t="shared" si="329"/>
        <v>7.6999999999999999E-2</v>
      </c>
      <c r="G180" s="223"/>
      <c r="H180" s="223">
        <f t="shared" si="299"/>
        <v>1.8479999999999999</v>
      </c>
      <c r="I180" s="559">
        <f t="shared" si="300"/>
        <v>10</v>
      </c>
      <c r="J180" s="454">
        <f t="shared" si="301"/>
        <v>24.25</v>
      </c>
      <c r="K180" s="454">
        <f t="shared" si="302"/>
        <v>34.25</v>
      </c>
      <c r="L180" s="454"/>
      <c r="M180" s="223">
        <f t="shared" si="303"/>
        <v>0.70802919708029199</v>
      </c>
      <c r="N180" s="178">
        <f t="shared" si="304"/>
        <v>4.8765510948905106</v>
      </c>
      <c r="O180" s="178">
        <f t="shared" si="244"/>
        <v>1.8479999999999999</v>
      </c>
      <c r="P180" s="223">
        <f t="shared" si="305"/>
        <v>0.20318962895377127</v>
      </c>
      <c r="Q180" s="223">
        <f t="shared" si="306"/>
        <v>24</v>
      </c>
      <c r="R180" s="223"/>
      <c r="S180" s="178">
        <f t="shared" si="307"/>
        <v>79.479408006782336</v>
      </c>
      <c r="T180" s="554">
        <f t="shared" si="308"/>
        <v>24</v>
      </c>
      <c r="U180" s="223">
        <f t="shared" si="309"/>
        <v>0.5494867064568637</v>
      </c>
      <c r="V180" s="223">
        <f t="shared" si="310"/>
        <v>2.5825875203472592</v>
      </c>
      <c r="W180" s="223">
        <f t="shared" si="311"/>
        <v>1.0649845444730965</v>
      </c>
      <c r="X180" s="203">
        <f t="shared" si="312"/>
        <v>350</v>
      </c>
      <c r="Y180" s="454">
        <f t="shared" si="279"/>
        <v>274.15496725744623</v>
      </c>
      <c r="AA180" s="223">
        <f t="shared" si="313"/>
        <v>0.43041288576309544</v>
      </c>
      <c r="AB180" s="179">
        <f t="shared" si="314"/>
        <v>0.83420229405630864</v>
      </c>
      <c r="AC180" s="179">
        <f t="shared" si="315"/>
        <v>6.2833997921619769E-2</v>
      </c>
      <c r="AD180" s="179"/>
      <c r="AE180" s="179">
        <f t="shared" si="316"/>
        <v>0.56206185567010303</v>
      </c>
      <c r="AF180" s="563">
        <f t="shared" si="317"/>
        <v>944.7972272117795</v>
      </c>
      <c r="AG180" s="546">
        <f t="shared" si="318"/>
        <v>2.8524639175257726E-2</v>
      </c>
      <c r="AI180" s="179">
        <f t="shared" si="319"/>
        <v>0.4764674979426663</v>
      </c>
      <c r="AJ180" s="179">
        <f t="shared" si="320"/>
        <v>0.5494867064568637</v>
      </c>
      <c r="AK180" s="179">
        <f t="shared" si="321"/>
        <v>1.3922123751532323</v>
      </c>
      <c r="AM180" s="563">
        <f t="shared" si="322"/>
        <v>77</v>
      </c>
      <c r="AN180" s="472">
        <f t="shared" si="323"/>
        <v>274.15496725744623</v>
      </c>
      <c r="AP180">
        <f t="shared" si="324"/>
        <v>77</v>
      </c>
      <c r="AQ180">
        <f t="shared" si="325"/>
        <v>274.15496725744623</v>
      </c>
      <c r="AS180" s="6">
        <f t="shared" si="245"/>
        <v>3.6475720648203551</v>
      </c>
      <c r="AT180" s="6">
        <f t="shared" si="326"/>
        <v>2.5825875203472592</v>
      </c>
      <c r="AU180" s="6">
        <f t="shared" si="280"/>
        <v>1.0649845444730959</v>
      </c>
      <c r="AV180" s="6"/>
      <c r="AW180" s="179">
        <f t="shared" si="281"/>
        <v>0.70802919708029211</v>
      </c>
      <c r="AX180" s="179">
        <f t="shared" si="241"/>
        <v>1.945263157894737</v>
      </c>
      <c r="AY180" s="179">
        <f t="shared" si="242"/>
        <v>8.0217037438958166E-2</v>
      </c>
      <c r="AZ180" s="179">
        <f t="shared" si="246"/>
        <v>24.250000000000018</v>
      </c>
      <c r="BD180" s="179">
        <f t="shared" si="247"/>
        <v>0.26694521857782694</v>
      </c>
      <c r="BE180" s="179">
        <f t="shared" si="243"/>
        <v>0.1714218883419113</v>
      </c>
      <c r="BG180" s="546">
        <f t="shared" si="282"/>
        <v>2.4940912402547331E-2</v>
      </c>
      <c r="BH180" s="546">
        <f t="shared" si="283"/>
        <v>3.8696808510638302E-2</v>
      </c>
      <c r="BI180" s="546">
        <f t="shared" si="284"/>
        <v>3.4269370907180781E-3</v>
      </c>
      <c r="BJ180" s="546">
        <f t="shared" si="285"/>
        <v>1.60800455639219E-2</v>
      </c>
      <c r="BK180">
        <f t="shared" si="286"/>
        <v>2.8999999999999998E-3</v>
      </c>
      <c r="BM180" s="472">
        <f t="shared" si="287"/>
        <v>86.044703567825607</v>
      </c>
      <c r="BN180" s="546">
        <f t="shared" si="288"/>
        <v>2.3099999999999999E-2</v>
      </c>
      <c r="BQ180" s="472">
        <f t="shared" si="289"/>
        <v>23.099999999999998</v>
      </c>
      <c r="BR180" s="546">
        <f t="shared" si="290"/>
        <v>1.4251949944312762E-2</v>
      </c>
      <c r="BS180" s="546">
        <f t="shared" si="291"/>
        <v>5.8770927605413413E-3</v>
      </c>
      <c r="BT180" s="546">
        <f t="shared" si="292"/>
        <v>1.3926862161630828E-2</v>
      </c>
      <c r="BU180" s="546"/>
      <c r="BV180" s="546">
        <f t="shared" si="293"/>
        <v>1.5313773796192611E-2</v>
      </c>
      <c r="BW180" s="472">
        <f t="shared" si="294"/>
        <v>49.369678662677536</v>
      </c>
      <c r="BX180" s="179">
        <f t="shared" si="295"/>
        <v>0.15851438223050315</v>
      </c>
      <c r="BY180" s="6">
        <f t="shared" si="296"/>
        <v>1.8479999999999999</v>
      </c>
      <c r="BZ180" s="179">
        <f t="shared" si="297"/>
        <v>0.92100012657058872</v>
      </c>
      <c r="CA180" s="6">
        <f t="shared" si="298"/>
        <v>92.100012657058869</v>
      </c>
      <c r="CD180" s="581">
        <f t="shared" si="327"/>
        <v>-50</v>
      </c>
      <c r="CE180">
        <f t="shared" si="328"/>
        <v>-50</v>
      </c>
    </row>
    <row r="181" spans="5:83" x14ac:dyDescent="0.2">
      <c r="E181" s="176">
        <v>71</v>
      </c>
      <c r="F181" s="223">
        <f t="shared" si="329"/>
        <v>7.8100000000000003E-2</v>
      </c>
      <c r="G181" s="223"/>
      <c r="H181" s="223">
        <f t="shared" si="299"/>
        <v>1.8744000000000001</v>
      </c>
      <c r="I181" s="559">
        <f t="shared" si="300"/>
        <v>10</v>
      </c>
      <c r="J181" s="454">
        <f t="shared" si="301"/>
        <v>24.25</v>
      </c>
      <c r="K181" s="454">
        <f t="shared" si="302"/>
        <v>34.25</v>
      </c>
      <c r="L181" s="454"/>
      <c r="M181" s="223">
        <f t="shared" si="303"/>
        <v>0.70802919708029199</v>
      </c>
      <c r="N181" s="178">
        <f t="shared" si="304"/>
        <v>4.8765510948905106</v>
      </c>
      <c r="O181" s="178">
        <f t="shared" si="244"/>
        <v>1.8744000000000001</v>
      </c>
      <c r="P181" s="223">
        <f t="shared" si="305"/>
        <v>0.20318962895377127</v>
      </c>
      <c r="Q181" s="223">
        <f t="shared" si="306"/>
        <v>24</v>
      </c>
      <c r="R181" s="223"/>
      <c r="S181" s="178">
        <f t="shared" si="307"/>
        <v>78.220079507483419</v>
      </c>
      <c r="T181" s="554">
        <f t="shared" si="308"/>
        <v>24</v>
      </c>
      <c r="U181" s="223">
        <f t="shared" si="309"/>
        <v>0.55733651654910477</v>
      </c>
      <c r="V181" s="223">
        <f t="shared" si="310"/>
        <v>2.6194816277807926</v>
      </c>
      <c r="W181" s="223">
        <f t="shared" si="311"/>
        <v>1.0801986093941411</v>
      </c>
      <c r="X181" s="203">
        <f t="shared" si="312"/>
        <v>350</v>
      </c>
      <c r="Y181" s="454">
        <f t="shared" si="279"/>
        <v>270.29362969043979</v>
      </c>
      <c r="AA181" s="223">
        <f t="shared" si="313"/>
        <v>0.43041288576309544</v>
      </c>
      <c r="AB181" s="179">
        <f t="shared" si="314"/>
        <v>0.83420229405630864</v>
      </c>
      <c r="AC181" s="179">
        <f t="shared" si="315"/>
        <v>6.2833997921619769E-2</v>
      </c>
      <c r="AD181" s="179"/>
      <c r="AE181" s="179">
        <f t="shared" si="316"/>
        <v>0.56206185567010303</v>
      </c>
      <c r="AF181" s="563">
        <f t="shared" si="317"/>
        <v>958.29433045766211</v>
      </c>
      <c r="AG181" s="546">
        <f t="shared" si="318"/>
        <v>2.8524639175257726E-2</v>
      </c>
      <c r="AI181" s="179">
        <f t="shared" si="319"/>
        <v>0.47985876848294606</v>
      </c>
      <c r="AJ181" s="179">
        <f t="shared" si="320"/>
        <v>0.55733651654910477</v>
      </c>
      <c r="AK181" s="179">
        <f t="shared" si="321"/>
        <v>1.398027049295633</v>
      </c>
      <c r="AM181" s="563">
        <f t="shared" si="322"/>
        <v>78.100000000000009</v>
      </c>
      <c r="AN181" s="472">
        <f t="shared" si="323"/>
        <v>270.29362969043979</v>
      </c>
      <c r="AP181">
        <f t="shared" si="324"/>
        <v>78.100000000000009</v>
      </c>
      <c r="AQ181">
        <f t="shared" si="325"/>
        <v>270.29362969043979</v>
      </c>
      <c r="AS181" s="6">
        <f t="shared" si="245"/>
        <v>3.6996802371749338</v>
      </c>
      <c r="AT181" s="6">
        <f t="shared" si="326"/>
        <v>2.6194816277807926</v>
      </c>
      <c r="AU181" s="6">
        <f t="shared" si="280"/>
        <v>1.0801986093941411</v>
      </c>
      <c r="AV181" s="6"/>
      <c r="AW181" s="179">
        <f t="shared" si="281"/>
        <v>0.70802919708029199</v>
      </c>
      <c r="AX181" s="179">
        <f t="shared" si="241"/>
        <v>1.9730526315789474</v>
      </c>
      <c r="AY181" s="179">
        <f t="shared" si="242"/>
        <v>8.1362995116657622E-2</v>
      </c>
      <c r="AZ181" s="179">
        <f t="shared" si="246"/>
        <v>24.25</v>
      </c>
      <c r="BD181" s="179">
        <f t="shared" si="247"/>
        <v>0.27075872170036736</v>
      </c>
      <c r="BE181" s="179">
        <f t="shared" si="243"/>
        <v>0.17387077246108154</v>
      </c>
      <c r="BG181" s="546">
        <f t="shared" si="282"/>
        <v>2.5658599881885943E-2</v>
      </c>
      <c r="BH181" s="546">
        <f t="shared" si="283"/>
        <v>3.8696808510638288E-2</v>
      </c>
      <c r="BI181" s="546">
        <f t="shared" si="284"/>
        <v>3.3786703711304968E-3</v>
      </c>
      <c r="BJ181" s="546">
        <f t="shared" si="285"/>
        <v>1.5853566048937076E-2</v>
      </c>
      <c r="BK181">
        <f t="shared" si="286"/>
        <v>2.8999999999999998E-3</v>
      </c>
      <c r="BM181" s="472">
        <f t="shared" si="287"/>
        <v>86.48764481259181</v>
      </c>
      <c r="BN181" s="546">
        <f t="shared" si="288"/>
        <v>2.3429999999999999E-2</v>
      </c>
      <c r="BQ181" s="472">
        <f t="shared" si="289"/>
        <v>23.43</v>
      </c>
      <c r="BR181" s="546">
        <f t="shared" si="290"/>
        <v>1.4662057075363397E-2</v>
      </c>
      <c r="BS181" s="546">
        <f t="shared" si="291"/>
        <v>6.0462091032426387E-3</v>
      </c>
      <c r="BT181" s="546">
        <f t="shared" si="292"/>
        <v>1.3926862161630825E-2</v>
      </c>
      <c r="BU181" s="546"/>
      <c r="BV181" s="546">
        <f t="shared" si="293"/>
        <v>1.5532541993281076E-2</v>
      </c>
      <c r="BW181" s="472">
        <f t="shared" si="294"/>
        <v>50.167670333517933</v>
      </c>
      <c r="BX181" s="179">
        <f t="shared" si="295"/>
        <v>0.16008531514610977</v>
      </c>
      <c r="BY181" s="6">
        <f t="shared" si="296"/>
        <v>1.8744000000000001</v>
      </c>
      <c r="BZ181" s="179">
        <f t="shared" si="297"/>
        <v>0.92131409651653695</v>
      </c>
      <c r="CA181" s="6">
        <f t="shared" si="298"/>
        <v>92.131409651653698</v>
      </c>
      <c r="CD181" s="581">
        <f t="shared" si="327"/>
        <v>-50</v>
      </c>
      <c r="CE181">
        <f t="shared" si="328"/>
        <v>-50</v>
      </c>
    </row>
    <row r="182" spans="5:83" x14ac:dyDescent="0.2">
      <c r="E182" s="176">
        <v>72</v>
      </c>
      <c r="F182" s="223">
        <f t="shared" si="329"/>
        <v>7.9199999999999993E-2</v>
      </c>
      <c r="G182" s="223"/>
      <c r="H182" s="223">
        <f t="shared" si="299"/>
        <v>1.9007999999999998</v>
      </c>
      <c r="I182" s="559">
        <f t="shared" si="300"/>
        <v>10</v>
      </c>
      <c r="J182" s="454">
        <f t="shared" si="301"/>
        <v>24.25</v>
      </c>
      <c r="K182" s="454">
        <f t="shared" si="302"/>
        <v>34.25</v>
      </c>
      <c r="L182" s="454"/>
      <c r="M182" s="223">
        <f t="shared" si="303"/>
        <v>0.70802919708029199</v>
      </c>
      <c r="N182" s="178">
        <f t="shared" si="304"/>
        <v>4.8765510948905106</v>
      </c>
      <c r="O182" s="178">
        <f t="shared" si="244"/>
        <v>1.9007999999999998</v>
      </c>
      <c r="P182" s="223">
        <f t="shared" si="305"/>
        <v>0.20318962895377127</v>
      </c>
      <c r="Q182" s="223">
        <f t="shared" si="306"/>
        <v>24</v>
      </c>
      <c r="R182" s="223"/>
      <c r="S182" s="178">
        <f t="shared" si="307"/>
        <v>76.995748079292397</v>
      </c>
      <c r="T182" s="554">
        <f t="shared" si="308"/>
        <v>24</v>
      </c>
      <c r="U182" s="223">
        <f t="shared" si="309"/>
        <v>0.5651863266413456</v>
      </c>
      <c r="V182" s="223">
        <f t="shared" si="310"/>
        <v>2.6563757352143242</v>
      </c>
      <c r="W182" s="223">
        <f t="shared" si="311"/>
        <v>1.0954126743151851</v>
      </c>
      <c r="X182" s="203">
        <f t="shared" si="312"/>
        <v>350</v>
      </c>
      <c r="Y182" s="454">
        <f t="shared" si="279"/>
        <v>266.53955150029486</v>
      </c>
      <c r="AA182" s="223">
        <f t="shared" si="313"/>
        <v>0.43041288576309544</v>
      </c>
      <c r="AB182" s="179">
        <f t="shared" si="314"/>
        <v>0.83420229405630864</v>
      </c>
      <c r="AC182" s="179">
        <f t="shared" si="315"/>
        <v>6.2833997921619769E-2</v>
      </c>
      <c r="AD182" s="179"/>
      <c r="AE182" s="179">
        <f t="shared" si="316"/>
        <v>0.56206185567010303</v>
      </c>
      <c r="AF182" s="563">
        <f t="shared" si="317"/>
        <v>971.7914337035445</v>
      </c>
      <c r="AG182" s="546">
        <f t="shared" si="318"/>
        <v>2.8524639175257726E-2</v>
      </c>
      <c r="AI182" s="179">
        <f t="shared" si="319"/>
        <v>0.48322623975131412</v>
      </c>
      <c r="AJ182" s="179">
        <f t="shared" si="320"/>
        <v>0.5651863266413456</v>
      </c>
      <c r="AK182" s="179">
        <f t="shared" si="321"/>
        <v>1.4038417234380338</v>
      </c>
      <c r="AM182" s="563">
        <f t="shared" si="322"/>
        <v>79.199999999999989</v>
      </c>
      <c r="AN182" s="472">
        <f t="shared" si="323"/>
        <v>266.53955150029486</v>
      </c>
      <c r="AP182">
        <f t="shared" si="324"/>
        <v>79.199999999999989</v>
      </c>
      <c r="AQ182">
        <f t="shared" si="325"/>
        <v>266.53955150029486</v>
      </c>
      <c r="AS182" s="6">
        <f t="shared" si="245"/>
        <v>3.7517884095295093</v>
      </c>
      <c r="AT182" s="6">
        <f t="shared" si="326"/>
        <v>2.6563757352143242</v>
      </c>
      <c r="AU182" s="6">
        <f t="shared" si="280"/>
        <v>1.0954126743151851</v>
      </c>
      <c r="AV182" s="6"/>
      <c r="AW182" s="179">
        <f t="shared" si="281"/>
        <v>0.70802919708029199</v>
      </c>
      <c r="AX182" s="179">
        <f t="shared" si="241"/>
        <v>2.0008421052631582</v>
      </c>
      <c r="AY182" s="179">
        <f t="shared" si="242"/>
        <v>8.2508952794357021E-2</v>
      </c>
      <c r="AZ182" s="179">
        <f t="shared" si="246"/>
        <v>24.250000000000004</v>
      </c>
      <c r="BD182" s="179">
        <f t="shared" si="247"/>
        <v>0.27457222482290772</v>
      </c>
      <c r="BE182" s="179">
        <f t="shared" si="243"/>
        <v>0.17631965658025167</v>
      </c>
      <c r="BG182" s="546">
        <f t="shared" si="282"/>
        <v>2.6386467325470481E-2</v>
      </c>
      <c r="BH182" s="546">
        <f t="shared" si="283"/>
        <v>3.8696808510638295E-2</v>
      </c>
      <c r="BI182" s="546">
        <f t="shared" si="284"/>
        <v>3.3317443937536857E-3</v>
      </c>
      <c r="BJ182" s="546">
        <f t="shared" si="285"/>
        <v>1.5633377631590731E-2</v>
      </c>
      <c r="BK182">
        <f t="shared" si="286"/>
        <v>2.8999999999999998E-3</v>
      </c>
      <c r="BM182" s="472">
        <f t="shared" si="287"/>
        <v>86.948397861453188</v>
      </c>
      <c r="BN182" s="546">
        <f t="shared" si="288"/>
        <v>2.3759999999999996E-2</v>
      </c>
      <c r="BQ182" s="472">
        <f t="shared" si="289"/>
        <v>23.759999999999998</v>
      </c>
      <c r="BR182" s="546">
        <f t="shared" si="290"/>
        <v>1.5077981328840277E-2</v>
      </c>
      <c r="BS182" s="546">
        <f t="shared" si="291"/>
        <v>6.2177242593155777E-3</v>
      </c>
      <c r="BT182" s="546">
        <f t="shared" si="292"/>
        <v>1.3926862161630858E-2</v>
      </c>
      <c r="BU182" s="546"/>
      <c r="BV182" s="546">
        <f t="shared" si="293"/>
        <v>1.5751310190369544E-2</v>
      </c>
      <c r="BW182" s="472">
        <f t="shared" si="294"/>
        <v>50.973877940156257</v>
      </c>
      <c r="BX182" s="179">
        <f t="shared" si="295"/>
        <v>0.16168227580160943</v>
      </c>
      <c r="BY182" s="6">
        <f t="shared" si="296"/>
        <v>1.9007999999999998</v>
      </c>
      <c r="BZ182" s="179">
        <f t="shared" si="297"/>
        <v>0.92160791988441715</v>
      </c>
      <c r="CA182" s="6">
        <f t="shared" si="298"/>
        <v>92.160791988441716</v>
      </c>
      <c r="CD182" s="581">
        <f t="shared" si="327"/>
        <v>-50</v>
      </c>
      <c r="CE182">
        <f t="shared" si="328"/>
        <v>-50</v>
      </c>
    </row>
    <row r="183" spans="5:83" x14ac:dyDescent="0.2">
      <c r="E183" s="176">
        <v>73</v>
      </c>
      <c r="F183" s="223">
        <f t="shared" si="329"/>
        <v>8.0299999999999996E-2</v>
      </c>
      <c r="G183" s="223"/>
      <c r="H183" s="223">
        <f t="shared" si="299"/>
        <v>1.9272</v>
      </c>
      <c r="I183" s="559">
        <f t="shared" si="300"/>
        <v>10</v>
      </c>
      <c r="J183" s="454">
        <f t="shared" si="301"/>
        <v>24.25</v>
      </c>
      <c r="K183" s="454">
        <f t="shared" si="302"/>
        <v>34.25</v>
      </c>
      <c r="L183" s="454"/>
      <c r="M183" s="223">
        <f t="shared" si="303"/>
        <v>0.70802919708029199</v>
      </c>
      <c r="N183" s="178">
        <f t="shared" si="304"/>
        <v>4.8765510948905106</v>
      </c>
      <c r="O183" s="178">
        <f t="shared" si="244"/>
        <v>1.9272</v>
      </c>
      <c r="P183" s="223">
        <f t="shared" si="305"/>
        <v>0.20318962895377127</v>
      </c>
      <c r="Q183" s="223">
        <f t="shared" si="306"/>
        <v>24</v>
      </c>
      <c r="R183" s="223"/>
      <c r="S183" s="178">
        <f t="shared" si="307"/>
        <v>75.804975566936591</v>
      </c>
      <c r="T183" s="554">
        <f t="shared" si="308"/>
        <v>24</v>
      </c>
      <c r="U183" s="223">
        <f t="shared" si="309"/>
        <v>0.57303613673358655</v>
      </c>
      <c r="V183" s="223">
        <f t="shared" si="310"/>
        <v>2.6932698426478567</v>
      </c>
      <c r="W183" s="223">
        <f t="shared" si="311"/>
        <v>1.1106267392362295</v>
      </c>
      <c r="X183" s="203">
        <f t="shared" si="312"/>
        <v>350</v>
      </c>
      <c r="Y183" s="454">
        <f t="shared" si="279"/>
        <v>262.88832476741408</v>
      </c>
      <c r="AA183" s="223">
        <f t="shared" si="313"/>
        <v>0.43041288576309544</v>
      </c>
      <c r="AB183" s="179">
        <f t="shared" si="314"/>
        <v>0.83420229405630864</v>
      </c>
      <c r="AC183" s="179">
        <f t="shared" si="315"/>
        <v>6.2833997921619769E-2</v>
      </c>
      <c r="AD183" s="179"/>
      <c r="AE183" s="179">
        <f t="shared" si="316"/>
        <v>0.56206185567010303</v>
      </c>
      <c r="AF183" s="563">
        <f t="shared" si="317"/>
        <v>985.28853694942711</v>
      </c>
      <c r="AG183" s="546">
        <f t="shared" si="318"/>
        <v>2.8524639175257726E-2</v>
      </c>
      <c r="AI183" s="179">
        <f t="shared" si="319"/>
        <v>0.48657040588019684</v>
      </c>
      <c r="AJ183" s="179">
        <f t="shared" si="320"/>
        <v>0.57303613673358655</v>
      </c>
      <c r="AK183" s="179">
        <f t="shared" si="321"/>
        <v>1.4096563975804344</v>
      </c>
      <c r="AM183" s="563">
        <f t="shared" si="322"/>
        <v>80.3</v>
      </c>
      <c r="AN183" s="472">
        <f t="shared" si="323"/>
        <v>262.88832476741408</v>
      </c>
      <c r="AP183">
        <f t="shared" si="324"/>
        <v>80.3</v>
      </c>
      <c r="AQ183">
        <f t="shared" si="325"/>
        <v>262.88832476741408</v>
      </c>
      <c r="AS183" s="6">
        <f t="shared" si="245"/>
        <v>3.8038965818840862</v>
      </c>
      <c r="AT183" s="6">
        <f t="shared" si="326"/>
        <v>2.6932698426478567</v>
      </c>
      <c r="AU183" s="6">
        <f t="shared" si="280"/>
        <v>1.1106267392362295</v>
      </c>
      <c r="AV183" s="6"/>
      <c r="AW183" s="179">
        <f t="shared" si="281"/>
        <v>0.70802919708029199</v>
      </c>
      <c r="AX183" s="179">
        <f t="shared" si="241"/>
        <v>2.0286315789473681</v>
      </c>
      <c r="AY183" s="179">
        <f t="shared" si="242"/>
        <v>8.3654910472056421E-2</v>
      </c>
      <c r="AZ183" s="179">
        <f t="shared" si="246"/>
        <v>24.25</v>
      </c>
      <c r="BD183" s="179">
        <f t="shared" si="247"/>
        <v>0.27838572794544814</v>
      </c>
      <c r="BE183" s="179">
        <f t="shared" si="243"/>
        <v>0.17876854069942186</v>
      </c>
      <c r="BG183" s="546">
        <f t="shared" si="282"/>
        <v>2.7124514733300971E-2</v>
      </c>
      <c r="BH183" s="546">
        <f t="shared" si="283"/>
        <v>3.8696808510638295E-2</v>
      </c>
      <c r="BI183" s="546">
        <f t="shared" si="284"/>
        <v>3.286104059592676E-3</v>
      </c>
      <c r="BJ183" s="546">
        <f t="shared" si="285"/>
        <v>1.5419221773623733E-2</v>
      </c>
      <c r="BK183">
        <f t="shared" si="286"/>
        <v>2.8999999999999998E-3</v>
      </c>
      <c r="BM183" s="472">
        <f t="shared" si="287"/>
        <v>87.426649077155673</v>
      </c>
      <c r="BN183" s="546">
        <f t="shared" si="288"/>
        <v>2.4089999999999997E-2</v>
      </c>
      <c r="BQ183" s="472">
        <f t="shared" si="289"/>
        <v>24.089999999999996</v>
      </c>
      <c r="BR183" s="546">
        <f t="shared" si="290"/>
        <v>1.5499722704743413E-2</v>
      </c>
      <c r="BS183" s="546">
        <f t="shared" si="291"/>
        <v>6.3916382287601704E-3</v>
      </c>
      <c r="BT183" s="546">
        <f t="shared" si="292"/>
        <v>1.3926862161630837E-2</v>
      </c>
      <c r="BU183" s="546"/>
      <c r="BV183" s="546">
        <f t="shared" si="293"/>
        <v>1.5970078387458009E-2</v>
      </c>
      <c r="BW183" s="472">
        <f t="shared" si="294"/>
        <v>51.788301482592431</v>
      </c>
      <c r="BX183" s="179">
        <f t="shared" si="295"/>
        <v>0.16330495055974811</v>
      </c>
      <c r="BY183" s="6">
        <f t="shared" si="296"/>
        <v>1.9272</v>
      </c>
      <c r="BZ183" s="179">
        <f t="shared" si="297"/>
        <v>0.92188253344436144</v>
      </c>
      <c r="CA183" s="6">
        <f t="shared" si="298"/>
        <v>92.188253344436148</v>
      </c>
      <c r="CD183" s="581">
        <f t="shared" si="327"/>
        <v>-50</v>
      </c>
      <c r="CE183">
        <f t="shared" si="328"/>
        <v>-50</v>
      </c>
    </row>
    <row r="184" spans="5:83" x14ac:dyDescent="0.2">
      <c r="E184" s="176">
        <v>74</v>
      </c>
      <c r="F184" s="223">
        <f t="shared" si="329"/>
        <v>8.14E-2</v>
      </c>
      <c r="G184" s="223"/>
      <c r="H184" s="223">
        <f t="shared" si="299"/>
        <v>1.9536</v>
      </c>
      <c r="I184" s="559">
        <f t="shared" si="300"/>
        <v>10</v>
      </c>
      <c r="J184" s="454">
        <f t="shared" si="301"/>
        <v>24.25</v>
      </c>
      <c r="K184" s="454">
        <f t="shared" si="302"/>
        <v>34.25</v>
      </c>
      <c r="L184" s="454"/>
      <c r="M184" s="223">
        <f t="shared" si="303"/>
        <v>0.70802919708029199</v>
      </c>
      <c r="N184" s="178">
        <f t="shared" si="304"/>
        <v>4.8765510948905106</v>
      </c>
      <c r="O184" s="178">
        <f t="shared" si="244"/>
        <v>1.9536</v>
      </c>
      <c r="P184" s="223">
        <f t="shared" si="305"/>
        <v>0.20318962895377127</v>
      </c>
      <c r="Q184" s="223">
        <f t="shared" si="306"/>
        <v>24</v>
      </c>
      <c r="R184" s="223"/>
      <c r="S184" s="178">
        <f t="shared" si="307"/>
        <v>74.6464015537981</v>
      </c>
      <c r="T184" s="554">
        <f t="shared" si="308"/>
        <v>24</v>
      </c>
      <c r="U184" s="223">
        <f t="shared" si="309"/>
        <v>0.58088594682582739</v>
      </c>
      <c r="V184" s="223">
        <f t="shared" si="310"/>
        <v>2.7301639500813883</v>
      </c>
      <c r="W184" s="223">
        <f t="shared" si="311"/>
        <v>1.1258408041572736</v>
      </c>
      <c r="X184" s="203">
        <f t="shared" si="312"/>
        <v>350</v>
      </c>
      <c r="Y184" s="454">
        <f t="shared" si="279"/>
        <v>259.33577983812472</v>
      </c>
      <c r="AA184" s="223">
        <f t="shared" si="313"/>
        <v>0.43041288576309544</v>
      </c>
      <c r="AB184" s="179">
        <f t="shared" si="314"/>
        <v>0.83420229405630864</v>
      </c>
      <c r="AC184" s="179">
        <f t="shared" si="315"/>
        <v>6.2833997921619769E-2</v>
      </c>
      <c r="AD184" s="179"/>
      <c r="AE184" s="179">
        <f t="shared" si="316"/>
        <v>0.56206185567010303</v>
      </c>
      <c r="AF184" s="563">
        <f t="shared" si="317"/>
        <v>998.78564019530972</v>
      </c>
      <c r="AG184" s="546">
        <f t="shared" si="318"/>
        <v>2.8524639175257726E-2</v>
      </c>
      <c r="AI184" s="179">
        <f t="shared" si="319"/>
        <v>0.48989174413603298</v>
      </c>
      <c r="AJ184" s="179">
        <f t="shared" si="320"/>
        <v>0.58088594682582739</v>
      </c>
      <c r="AK184" s="179">
        <f t="shared" si="321"/>
        <v>1.4154710717228352</v>
      </c>
      <c r="AM184" s="563">
        <f t="shared" si="322"/>
        <v>81.400000000000006</v>
      </c>
      <c r="AN184" s="472">
        <f t="shared" si="323"/>
        <v>259.33577983812472</v>
      </c>
      <c r="AP184">
        <f t="shared" si="324"/>
        <v>81.400000000000006</v>
      </c>
      <c r="AQ184">
        <f t="shared" si="325"/>
        <v>259.33577983812472</v>
      </c>
      <c r="AS184" s="6">
        <f t="shared" si="245"/>
        <v>3.8560047542386626</v>
      </c>
      <c r="AT184" s="6">
        <f t="shared" si="326"/>
        <v>2.7301639500813883</v>
      </c>
      <c r="AU184" s="6">
        <f t="shared" si="280"/>
        <v>1.1258408041572743</v>
      </c>
      <c r="AV184" s="6"/>
      <c r="AW184" s="179">
        <f t="shared" si="281"/>
        <v>0.70802919708029188</v>
      </c>
      <c r="AX184" s="179">
        <f t="shared" si="241"/>
        <v>2.0564210526315785</v>
      </c>
      <c r="AY184" s="179">
        <f t="shared" si="242"/>
        <v>8.4800868149755848E-2</v>
      </c>
      <c r="AZ184" s="179">
        <f t="shared" si="246"/>
        <v>24.249999999999989</v>
      </c>
      <c r="BD184" s="179">
        <f t="shared" si="247"/>
        <v>0.28219923106798844</v>
      </c>
      <c r="BE184" s="179">
        <f t="shared" si="243"/>
        <v>0.18121742481859202</v>
      </c>
      <c r="BG184" s="546">
        <f t="shared" si="282"/>
        <v>2.7872742105377376E-2</v>
      </c>
      <c r="BH184" s="546">
        <f t="shared" si="283"/>
        <v>3.8696808510638295E-2</v>
      </c>
      <c r="BI184" s="546">
        <f t="shared" si="284"/>
        <v>3.241697247976559E-3</v>
      </c>
      <c r="BJ184" s="546">
        <f t="shared" si="285"/>
        <v>1.5210853911818008E-2</v>
      </c>
      <c r="BK184">
        <f t="shared" si="286"/>
        <v>2.8999999999999998E-3</v>
      </c>
      <c r="BM184" s="472">
        <f t="shared" si="287"/>
        <v>87.922101775810233</v>
      </c>
      <c r="BN184" s="546">
        <f t="shared" si="288"/>
        <v>2.4420000000000001E-2</v>
      </c>
      <c r="BQ184" s="472">
        <f t="shared" si="289"/>
        <v>24.42</v>
      </c>
      <c r="BR184" s="546">
        <f t="shared" si="290"/>
        <v>1.5927281203072789E-2</v>
      </c>
      <c r="BS184" s="546">
        <f t="shared" si="291"/>
        <v>6.5679510115764107E-3</v>
      </c>
      <c r="BT184" s="546">
        <f t="shared" si="292"/>
        <v>1.3926862161630828E-2</v>
      </c>
      <c r="BU184" s="546"/>
      <c r="BV184" s="546">
        <f t="shared" si="293"/>
        <v>1.6188846584546474E-2</v>
      </c>
      <c r="BW184" s="472">
        <f t="shared" si="294"/>
        <v>52.610940960826497</v>
      </c>
      <c r="BX184" s="179">
        <f t="shared" si="295"/>
        <v>0.16495304273663675</v>
      </c>
      <c r="BY184" s="6">
        <f t="shared" si="296"/>
        <v>1.9536</v>
      </c>
      <c r="BZ184" s="179">
        <f t="shared" si="297"/>
        <v>0.92213881861387859</v>
      </c>
      <c r="CA184" s="6">
        <f t="shared" si="298"/>
        <v>92.213881861387861</v>
      </c>
      <c r="CD184" s="581">
        <f t="shared" si="327"/>
        <v>-50</v>
      </c>
      <c r="CE184">
        <f t="shared" si="328"/>
        <v>-50</v>
      </c>
    </row>
    <row r="185" spans="5:83" x14ac:dyDescent="0.2">
      <c r="E185" s="176">
        <v>75</v>
      </c>
      <c r="F185" s="223">
        <f t="shared" si="329"/>
        <v>8.2500000000000004E-2</v>
      </c>
      <c r="G185" s="223"/>
      <c r="H185" s="223">
        <f t="shared" si="299"/>
        <v>1.98</v>
      </c>
      <c r="I185" s="559">
        <f t="shared" si="300"/>
        <v>10</v>
      </c>
      <c r="J185" s="454">
        <f t="shared" si="301"/>
        <v>24.25</v>
      </c>
      <c r="K185" s="454">
        <f t="shared" si="302"/>
        <v>34.25</v>
      </c>
      <c r="L185" s="454"/>
      <c r="M185" s="223">
        <f t="shared" si="303"/>
        <v>0.70802919708029199</v>
      </c>
      <c r="N185" s="178">
        <f t="shared" si="304"/>
        <v>4.8765510948905106</v>
      </c>
      <c r="O185" s="178">
        <f t="shared" si="244"/>
        <v>1.98</v>
      </c>
      <c r="P185" s="223">
        <f t="shared" si="305"/>
        <v>0.20318962895377127</v>
      </c>
      <c r="Q185" s="223">
        <f t="shared" si="306"/>
        <v>24</v>
      </c>
      <c r="R185" s="223"/>
      <c r="S185" s="178">
        <f t="shared" si="307"/>
        <v>73.518738179341042</v>
      </c>
      <c r="T185" s="554">
        <f t="shared" si="308"/>
        <v>24</v>
      </c>
      <c r="U185" s="223">
        <f t="shared" si="309"/>
        <v>0.58873575691806834</v>
      </c>
      <c r="V185" s="223">
        <f t="shared" si="310"/>
        <v>2.7670580575149208</v>
      </c>
      <c r="W185" s="223">
        <f t="shared" si="311"/>
        <v>1.141054869078318</v>
      </c>
      <c r="X185" s="203">
        <f t="shared" si="312"/>
        <v>350</v>
      </c>
      <c r="Y185" s="454">
        <f t="shared" si="279"/>
        <v>255.87796944028307</v>
      </c>
      <c r="AA185" s="223">
        <f t="shared" si="313"/>
        <v>0.43041288576309544</v>
      </c>
      <c r="AB185" s="179">
        <f t="shared" si="314"/>
        <v>0.83420229405630864</v>
      </c>
      <c r="AC185" s="179">
        <f t="shared" si="315"/>
        <v>6.2833997921619769E-2</v>
      </c>
      <c r="AD185" s="179"/>
      <c r="AE185" s="179">
        <f t="shared" si="316"/>
        <v>0.56206185567010303</v>
      </c>
      <c r="AF185" s="563">
        <f t="shared" si="317"/>
        <v>1012.2827434411923</v>
      </c>
      <c r="AG185" s="546">
        <f t="shared" si="318"/>
        <v>2.8524639175257726E-2</v>
      </c>
      <c r="AI185" s="179">
        <f t="shared" si="319"/>
        <v>0.49319071571438705</v>
      </c>
      <c r="AJ185" s="179">
        <f t="shared" si="320"/>
        <v>0.58873575691806834</v>
      </c>
      <c r="AK185" s="179">
        <f t="shared" si="321"/>
        <v>1.4212857458652357</v>
      </c>
      <c r="AM185" s="563">
        <f t="shared" si="322"/>
        <v>82.5</v>
      </c>
      <c r="AN185" s="472">
        <f t="shared" si="323"/>
        <v>255.87796944028307</v>
      </c>
      <c r="AP185">
        <f t="shared" si="324"/>
        <v>82.5</v>
      </c>
      <c r="AQ185">
        <f t="shared" si="325"/>
        <v>255.87796944028307</v>
      </c>
      <c r="AS185" s="6">
        <f t="shared" si="245"/>
        <v>3.9081129265932386</v>
      </c>
      <c r="AT185" s="6">
        <f t="shared" si="326"/>
        <v>2.7670580575149208</v>
      </c>
      <c r="AU185" s="6">
        <f t="shared" si="280"/>
        <v>1.1410548690783178</v>
      </c>
      <c r="AV185" s="6"/>
      <c r="AW185" s="179">
        <f t="shared" si="281"/>
        <v>0.70802919708029199</v>
      </c>
      <c r="AX185" s="179">
        <f t="shared" si="241"/>
        <v>2.0842105263157897</v>
      </c>
      <c r="AY185" s="179">
        <f t="shared" si="242"/>
        <v>8.594682582745522E-2</v>
      </c>
      <c r="AZ185" s="179">
        <f t="shared" si="246"/>
        <v>24.250000000000007</v>
      </c>
      <c r="BD185" s="179">
        <f t="shared" si="247"/>
        <v>0.28601273419052886</v>
      </c>
      <c r="BE185" s="179">
        <f t="shared" si="243"/>
        <v>0.18366630893776215</v>
      </c>
      <c r="BG185" s="546">
        <f t="shared" si="282"/>
        <v>2.8631149441699737E-2</v>
      </c>
      <c r="BH185" s="546">
        <f t="shared" si="283"/>
        <v>3.8696808510638295E-2</v>
      </c>
      <c r="BI185" s="546">
        <f t="shared" si="284"/>
        <v>3.1984746180035379E-3</v>
      </c>
      <c r="BJ185" s="546">
        <f t="shared" si="285"/>
        <v>1.5008042526327103E-2</v>
      </c>
      <c r="BK185">
        <f t="shared" si="286"/>
        <v>2.8999999999999998E-3</v>
      </c>
      <c r="BM185" s="472">
        <f t="shared" si="287"/>
        <v>88.434475096668692</v>
      </c>
      <c r="BN185" s="546">
        <f t="shared" si="288"/>
        <v>2.4750000000000001E-2</v>
      </c>
      <c r="BQ185" s="472">
        <f t="shared" si="289"/>
        <v>24.75</v>
      </c>
      <c r="BR185" s="546">
        <f t="shared" si="290"/>
        <v>1.6360656823828423E-2</v>
      </c>
      <c r="BS185" s="546">
        <f t="shared" si="291"/>
        <v>6.7466626077642977E-3</v>
      </c>
      <c r="BT185" s="546">
        <f t="shared" si="292"/>
        <v>1.3926862161630825E-2</v>
      </c>
      <c r="BU185" s="546"/>
      <c r="BV185" s="546">
        <f t="shared" si="293"/>
        <v>1.6407614781634938E-2</v>
      </c>
      <c r="BW185" s="472">
        <f t="shared" si="294"/>
        <v>53.441796374858484</v>
      </c>
      <c r="BX185" s="179">
        <f t="shared" si="295"/>
        <v>0.16662627147152717</v>
      </c>
      <c r="BY185" s="6">
        <f t="shared" si="296"/>
        <v>1.98</v>
      </c>
      <c r="BZ185" s="179">
        <f t="shared" si="297"/>
        <v>0.92237760541461022</v>
      </c>
      <c r="CA185" s="6">
        <f t="shared" si="298"/>
        <v>92.237760541461029</v>
      </c>
      <c r="CD185" s="581">
        <f t="shared" si="327"/>
        <v>-50</v>
      </c>
      <c r="CE185">
        <f t="shared" si="328"/>
        <v>-50</v>
      </c>
    </row>
    <row r="186" spans="5:83" x14ac:dyDescent="0.2">
      <c r="E186" s="176">
        <v>76</v>
      </c>
      <c r="F186" s="223">
        <f t="shared" si="329"/>
        <v>8.3600000000000008E-2</v>
      </c>
      <c r="G186" s="223"/>
      <c r="H186" s="223">
        <f t="shared" si="299"/>
        <v>2.0064000000000002</v>
      </c>
      <c r="I186" s="559">
        <f t="shared" si="300"/>
        <v>10</v>
      </c>
      <c r="J186" s="454">
        <f t="shared" si="301"/>
        <v>24.25</v>
      </c>
      <c r="K186" s="454">
        <f t="shared" si="302"/>
        <v>34.25</v>
      </c>
      <c r="L186" s="454"/>
      <c r="M186" s="223">
        <f t="shared" si="303"/>
        <v>0.70802919708029199</v>
      </c>
      <c r="N186" s="178">
        <f t="shared" si="304"/>
        <v>4.8765510948905106</v>
      </c>
      <c r="O186" s="178">
        <f t="shared" si="244"/>
        <v>2.0064000000000002</v>
      </c>
      <c r="P186" s="223">
        <f t="shared" si="305"/>
        <v>0.20318962895377127</v>
      </c>
      <c r="Q186" s="223">
        <f t="shared" si="306"/>
        <v>24</v>
      </c>
      <c r="R186" s="223"/>
      <c r="S186" s="178">
        <f t="shared" si="307"/>
        <v>72.420765365689292</v>
      </c>
      <c r="T186" s="554">
        <f t="shared" si="308"/>
        <v>24</v>
      </c>
      <c r="U186" s="223">
        <f t="shared" si="309"/>
        <v>0.59658556701030929</v>
      </c>
      <c r="V186" s="223">
        <f t="shared" si="310"/>
        <v>2.8039521649484538</v>
      </c>
      <c r="W186" s="223">
        <f t="shared" si="311"/>
        <v>1.1562689339993621</v>
      </c>
      <c r="X186" s="203">
        <f t="shared" si="312"/>
        <v>350</v>
      </c>
      <c r="Y186" s="454">
        <f t="shared" si="279"/>
        <v>252.51115405291091</v>
      </c>
      <c r="AA186" s="223">
        <f t="shared" si="313"/>
        <v>0.43041288576309544</v>
      </c>
      <c r="AB186" s="179">
        <f t="shared" si="314"/>
        <v>0.83420229405630864</v>
      </c>
      <c r="AC186" s="179">
        <f t="shared" si="315"/>
        <v>6.2833997921619769E-2</v>
      </c>
      <c r="AD186" s="179"/>
      <c r="AE186" s="179">
        <f t="shared" si="316"/>
        <v>0.56206185567010303</v>
      </c>
      <c r="AF186" s="563">
        <f t="shared" si="317"/>
        <v>1025.779846687075</v>
      </c>
      <c r="AG186" s="546">
        <f t="shared" si="318"/>
        <v>2.8524639175257726E-2</v>
      </c>
      <c r="AI186" s="179">
        <f t="shared" si="319"/>
        <v>0.49646776648750751</v>
      </c>
      <c r="AJ186" s="179">
        <f t="shared" si="320"/>
        <v>0.59658556701030929</v>
      </c>
      <c r="AK186" s="179">
        <f t="shared" si="321"/>
        <v>1.4271004200076365</v>
      </c>
      <c r="AM186" s="563">
        <f t="shared" si="322"/>
        <v>83.600000000000009</v>
      </c>
      <c r="AN186" s="472">
        <f t="shared" si="323"/>
        <v>252.51115405291091</v>
      </c>
      <c r="AP186">
        <f t="shared" si="324"/>
        <v>83.600000000000009</v>
      </c>
      <c r="AQ186">
        <f t="shared" si="325"/>
        <v>252.51115405291091</v>
      </c>
      <c r="AS186" s="6">
        <f t="shared" si="245"/>
        <v>3.9602210989478159</v>
      </c>
      <c r="AT186" s="6">
        <f t="shared" si="326"/>
        <v>2.8039521649484538</v>
      </c>
      <c r="AU186" s="6">
        <f t="shared" si="280"/>
        <v>1.1562689339993621</v>
      </c>
      <c r="AV186" s="6"/>
      <c r="AW186" s="179">
        <f t="shared" si="281"/>
        <v>0.70802919708029199</v>
      </c>
      <c r="AX186" s="179">
        <f t="shared" si="241"/>
        <v>2.1119999999999997</v>
      </c>
      <c r="AY186" s="179">
        <f t="shared" si="242"/>
        <v>8.7092783505154633E-2</v>
      </c>
      <c r="AZ186" s="179">
        <f t="shared" si="246"/>
        <v>24.249999999999996</v>
      </c>
      <c r="BD186" s="179">
        <f t="shared" si="247"/>
        <v>0.28982623731306928</v>
      </c>
      <c r="BE186" s="179">
        <f t="shared" si="243"/>
        <v>0.18611519305693233</v>
      </c>
      <c r="BG186" s="546">
        <f t="shared" si="282"/>
        <v>2.9399736742268041E-2</v>
      </c>
      <c r="BH186" s="546">
        <f t="shared" si="283"/>
        <v>3.8696808510638302E-2</v>
      </c>
      <c r="BI186" s="546">
        <f t="shared" si="284"/>
        <v>3.1563894256613862E-3</v>
      </c>
      <c r="BJ186" s="546">
        <f t="shared" si="285"/>
        <v>1.481056828255964E-2</v>
      </c>
      <c r="BK186">
        <f t="shared" si="286"/>
        <v>2.8999999999999998E-3</v>
      </c>
      <c r="BM186" s="472">
        <f t="shared" si="287"/>
        <v>88.963502961127375</v>
      </c>
      <c r="BN186" s="546">
        <f t="shared" si="288"/>
        <v>2.5080000000000002E-2</v>
      </c>
      <c r="BQ186" s="472">
        <f t="shared" si="289"/>
        <v>25.080000000000002</v>
      </c>
      <c r="BR186" s="546">
        <f t="shared" si="290"/>
        <v>1.6799849567010312E-2</v>
      </c>
      <c r="BS186" s="546">
        <f t="shared" si="291"/>
        <v>6.9277730173238393E-3</v>
      </c>
      <c r="BT186" s="546">
        <f t="shared" si="292"/>
        <v>1.3926862161630854E-2</v>
      </c>
      <c r="BU186" s="546"/>
      <c r="BV186" s="546">
        <f t="shared" si="293"/>
        <v>1.6626382978723403E-2</v>
      </c>
      <c r="BW186" s="472">
        <f t="shared" si="294"/>
        <v>54.280867724688413</v>
      </c>
      <c r="BX186" s="179">
        <f t="shared" si="295"/>
        <v>0.16832437068581579</v>
      </c>
      <c r="BY186" s="6">
        <f t="shared" si="296"/>
        <v>2.0064000000000002</v>
      </c>
      <c r="BZ186" s="179">
        <f t="shared" si="297"/>
        <v>0.9225996760993056</v>
      </c>
      <c r="CA186" s="6">
        <f t="shared" si="298"/>
        <v>92.259967609930555</v>
      </c>
      <c r="CD186" s="581">
        <f t="shared" si="327"/>
        <v>-50</v>
      </c>
      <c r="CE186">
        <f t="shared" si="328"/>
        <v>-50</v>
      </c>
    </row>
    <row r="187" spans="5:83" x14ac:dyDescent="0.2">
      <c r="E187" s="176">
        <v>77</v>
      </c>
      <c r="F187" s="223">
        <f t="shared" si="329"/>
        <v>8.4699999999999998E-2</v>
      </c>
      <c r="G187" s="223"/>
      <c r="H187" s="223">
        <f t="shared" si="299"/>
        <v>2.0327999999999999</v>
      </c>
      <c r="I187" s="559">
        <f t="shared" si="300"/>
        <v>10</v>
      </c>
      <c r="J187" s="454">
        <f t="shared" si="301"/>
        <v>24.25</v>
      </c>
      <c r="K187" s="454">
        <f t="shared" si="302"/>
        <v>34.25</v>
      </c>
      <c r="L187" s="454"/>
      <c r="M187" s="223">
        <f t="shared" si="303"/>
        <v>0.70802919708029199</v>
      </c>
      <c r="N187" s="178">
        <f t="shared" si="304"/>
        <v>4.8765510948905106</v>
      </c>
      <c r="O187" s="178">
        <f t="shared" si="244"/>
        <v>2.0327999999999999</v>
      </c>
      <c r="P187" s="223">
        <f t="shared" si="305"/>
        <v>0.20318962895377127</v>
      </c>
      <c r="Q187" s="223">
        <f t="shared" si="306"/>
        <v>24</v>
      </c>
      <c r="R187" s="223"/>
      <c r="S187" s="178">
        <f t="shared" si="307"/>
        <v>71.351326416159324</v>
      </c>
      <c r="T187" s="554">
        <f t="shared" si="308"/>
        <v>24</v>
      </c>
      <c r="U187" s="223">
        <f t="shared" si="309"/>
        <v>0.60443537710255013</v>
      </c>
      <c r="V187" s="223">
        <f t="shared" si="310"/>
        <v>2.8408462723819858</v>
      </c>
      <c r="W187" s="223">
        <f t="shared" si="311"/>
        <v>1.1714829989204063</v>
      </c>
      <c r="X187" s="203">
        <f t="shared" si="312"/>
        <v>350</v>
      </c>
      <c r="Y187" s="454">
        <f t="shared" si="279"/>
        <v>249.23178841586011</v>
      </c>
      <c r="AA187" s="223">
        <f t="shared" si="313"/>
        <v>0.43041288576309544</v>
      </c>
      <c r="AB187" s="179">
        <f t="shared" si="314"/>
        <v>0.83420229405630864</v>
      </c>
      <c r="AC187" s="179">
        <f t="shared" si="315"/>
        <v>6.2833997921619769E-2</v>
      </c>
      <c r="AD187" s="179"/>
      <c r="AE187" s="179">
        <f t="shared" si="316"/>
        <v>0.56206185567010303</v>
      </c>
      <c r="AF187" s="563">
        <f t="shared" si="317"/>
        <v>1039.2769499329575</v>
      </c>
      <c r="AG187" s="546">
        <f t="shared" si="318"/>
        <v>2.8524639175257726E-2</v>
      </c>
      <c r="AI187" s="179">
        <f t="shared" si="319"/>
        <v>0.4997233277077619</v>
      </c>
      <c r="AJ187" s="179">
        <f t="shared" si="320"/>
        <v>0.60443537710255013</v>
      </c>
      <c r="AK187" s="179">
        <f t="shared" si="321"/>
        <v>1.432915094150037</v>
      </c>
      <c r="AM187" s="563">
        <f t="shared" si="322"/>
        <v>84.7</v>
      </c>
      <c r="AN187" s="472">
        <f t="shared" si="323"/>
        <v>249.23178841586011</v>
      </c>
      <c r="AP187">
        <f t="shared" si="324"/>
        <v>84.7</v>
      </c>
      <c r="AQ187">
        <f t="shared" si="325"/>
        <v>249.23178841586011</v>
      </c>
      <c r="AS187" s="6">
        <f t="shared" si="245"/>
        <v>4.0123292713023924</v>
      </c>
      <c r="AT187" s="6">
        <f t="shared" si="326"/>
        <v>2.8408462723819858</v>
      </c>
      <c r="AU187" s="6">
        <f t="shared" si="280"/>
        <v>1.1714829989204065</v>
      </c>
      <c r="AV187" s="6"/>
      <c r="AW187" s="179">
        <f t="shared" si="281"/>
        <v>0.70802919708029199</v>
      </c>
      <c r="AX187" s="179">
        <f t="shared" si="241"/>
        <v>2.1397894736842105</v>
      </c>
      <c r="AY187" s="179">
        <f t="shared" si="242"/>
        <v>8.8238741182854033E-2</v>
      </c>
      <c r="AZ187" s="179">
        <f t="shared" si="246"/>
        <v>24.250000000000004</v>
      </c>
      <c r="BD187" s="179">
        <f t="shared" si="247"/>
        <v>0.29363974043560964</v>
      </c>
      <c r="BE187" s="179">
        <f t="shared" si="243"/>
        <v>0.18856407717610246</v>
      </c>
      <c r="BG187" s="546">
        <f t="shared" si="282"/>
        <v>3.0178504007082267E-2</v>
      </c>
      <c r="BH187" s="546">
        <f t="shared" si="283"/>
        <v>3.8696808510638288E-2</v>
      </c>
      <c r="BI187" s="546">
        <f t="shared" si="284"/>
        <v>3.1153973551982512E-3</v>
      </c>
      <c r="BJ187" s="546">
        <f t="shared" si="285"/>
        <v>1.4618223239928995E-2</v>
      </c>
      <c r="BK187">
        <f t="shared" si="286"/>
        <v>2.8999999999999998E-3</v>
      </c>
      <c r="BM187" s="472">
        <f t="shared" si="287"/>
        <v>89.508933112847799</v>
      </c>
      <c r="BN187" s="546">
        <f t="shared" si="288"/>
        <v>2.5409999999999999E-2</v>
      </c>
      <c r="BQ187" s="472">
        <f t="shared" si="289"/>
        <v>25.41</v>
      </c>
      <c r="BR187" s="546">
        <f t="shared" si="290"/>
        <v>1.7244859432618439E-2</v>
      </c>
      <c r="BS187" s="546">
        <f t="shared" si="291"/>
        <v>7.1112822402550251E-3</v>
      </c>
      <c r="BT187" s="546">
        <f t="shared" si="292"/>
        <v>1.3926862161630851E-2</v>
      </c>
      <c r="BU187" s="546"/>
      <c r="BV187" s="546">
        <f t="shared" si="293"/>
        <v>1.6845151175811868E-2</v>
      </c>
      <c r="BW187" s="472">
        <f t="shared" si="294"/>
        <v>55.128155010316185</v>
      </c>
      <c r="BX187" s="179">
        <f t="shared" si="295"/>
        <v>0.17004708812316399</v>
      </c>
      <c r="BY187" s="6">
        <f t="shared" si="296"/>
        <v>2.0327999999999999</v>
      </c>
      <c r="BZ187" s="179">
        <f t="shared" si="297"/>
        <v>0.92280576848026019</v>
      </c>
      <c r="CA187" s="6">
        <f t="shared" si="298"/>
        <v>92.280576848026016</v>
      </c>
      <c r="CD187" s="581">
        <f t="shared" si="327"/>
        <v>-50</v>
      </c>
      <c r="CE187">
        <f t="shared" si="328"/>
        <v>-50</v>
      </c>
    </row>
    <row r="188" spans="5:83" x14ac:dyDescent="0.2">
      <c r="E188" s="176">
        <v>78</v>
      </c>
      <c r="F188" s="223">
        <f t="shared" si="329"/>
        <v>8.5800000000000001E-2</v>
      </c>
      <c r="G188" s="223"/>
      <c r="H188" s="223">
        <f t="shared" si="299"/>
        <v>2.0592000000000001</v>
      </c>
      <c r="I188" s="559">
        <f t="shared" si="300"/>
        <v>10</v>
      </c>
      <c r="J188" s="454">
        <f t="shared" si="301"/>
        <v>24.25</v>
      </c>
      <c r="K188" s="454">
        <f t="shared" si="302"/>
        <v>34.25</v>
      </c>
      <c r="L188" s="454"/>
      <c r="M188" s="223">
        <f t="shared" si="303"/>
        <v>0.70802919708029199</v>
      </c>
      <c r="N188" s="178">
        <f t="shared" si="304"/>
        <v>4.8765510948905106</v>
      </c>
      <c r="O188" s="178">
        <f t="shared" si="244"/>
        <v>2.0592000000000001</v>
      </c>
      <c r="P188" s="223">
        <f t="shared" si="305"/>
        <v>0.20318962895377127</v>
      </c>
      <c r="Q188" s="223">
        <f t="shared" si="306"/>
        <v>24</v>
      </c>
      <c r="R188" s="223"/>
      <c r="S188" s="178">
        <f t="shared" si="307"/>
        <v>70.309323952367322</v>
      </c>
      <c r="T188" s="554">
        <f t="shared" si="308"/>
        <v>24</v>
      </c>
      <c r="U188" s="223">
        <f t="shared" si="309"/>
        <v>0.61228518719479108</v>
      </c>
      <c r="V188" s="223">
        <f t="shared" si="310"/>
        <v>2.8777403798155179</v>
      </c>
      <c r="W188" s="223">
        <f t="shared" si="311"/>
        <v>1.1866970638414509</v>
      </c>
      <c r="X188" s="203">
        <f t="shared" si="312"/>
        <v>350</v>
      </c>
      <c r="Y188" s="454">
        <f t="shared" si="279"/>
        <v>246.03650907719523</v>
      </c>
      <c r="AA188" s="223">
        <f t="shared" si="313"/>
        <v>0.43041288576309544</v>
      </c>
      <c r="AB188" s="179">
        <f t="shared" si="314"/>
        <v>0.83420229405630864</v>
      </c>
      <c r="AC188" s="179">
        <f t="shared" si="315"/>
        <v>6.2833997921619769E-2</v>
      </c>
      <c r="AD188" s="179"/>
      <c r="AE188" s="179">
        <f t="shared" si="316"/>
        <v>0.56206185567010303</v>
      </c>
      <c r="AF188" s="563">
        <f t="shared" si="317"/>
        <v>1052.7740531788402</v>
      </c>
      <c r="AG188" s="546">
        <f t="shared" si="318"/>
        <v>2.8524639175257726E-2</v>
      </c>
      <c r="AI188" s="179">
        <f t="shared" si="319"/>
        <v>0.50295781667009021</v>
      </c>
      <c r="AJ188" s="179">
        <f t="shared" si="320"/>
        <v>0.61228518719479108</v>
      </c>
      <c r="AK188" s="179">
        <f t="shared" si="321"/>
        <v>1.4387297682924378</v>
      </c>
      <c r="AM188" s="563">
        <f t="shared" si="322"/>
        <v>85.8</v>
      </c>
      <c r="AN188" s="472">
        <f t="shared" si="323"/>
        <v>246.03650907719523</v>
      </c>
      <c r="AP188">
        <f t="shared" si="324"/>
        <v>85.8</v>
      </c>
      <c r="AQ188">
        <f t="shared" si="325"/>
        <v>246.03650907719523</v>
      </c>
      <c r="AS188" s="6">
        <f t="shared" si="245"/>
        <v>4.0644374436569688</v>
      </c>
      <c r="AT188" s="6">
        <f t="shared" si="326"/>
        <v>2.8777403798155179</v>
      </c>
      <c r="AU188" s="6">
        <f t="shared" si="280"/>
        <v>1.1866970638414509</v>
      </c>
      <c r="AV188" s="6"/>
      <c r="AW188" s="179">
        <f t="shared" si="281"/>
        <v>0.70802919708029188</v>
      </c>
      <c r="AX188" s="179">
        <f t="shared" si="241"/>
        <v>2.1675789473684208</v>
      </c>
      <c r="AY188" s="179">
        <f t="shared" si="242"/>
        <v>8.9384698860553474E-2</v>
      </c>
      <c r="AZ188" s="179">
        <f t="shared" si="246"/>
        <v>24.249999999999989</v>
      </c>
      <c r="BD188" s="179">
        <f t="shared" si="247"/>
        <v>0.29745324355815</v>
      </c>
      <c r="BE188" s="179">
        <f t="shared" si="243"/>
        <v>0.19101296129527268</v>
      </c>
      <c r="BG188" s="546">
        <f t="shared" si="282"/>
        <v>3.0967451236142432E-2</v>
      </c>
      <c r="BH188" s="546">
        <f t="shared" si="283"/>
        <v>3.8696808510638288E-2</v>
      </c>
      <c r="BI188" s="546">
        <f t="shared" si="284"/>
        <v>3.0754563634649403E-3</v>
      </c>
      <c r="BJ188" s="546">
        <f t="shared" si="285"/>
        <v>1.4430810121468367E-2</v>
      </c>
      <c r="BK188">
        <f t="shared" si="286"/>
        <v>2.8999999999999998E-3</v>
      </c>
      <c r="BM188" s="472">
        <f t="shared" si="287"/>
        <v>90.070526231714041</v>
      </c>
      <c r="BN188" s="546">
        <f t="shared" si="288"/>
        <v>2.5739999999999999E-2</v>
      </c>
      <c r="BQ188" s="472">
        <f t="shared" si="289"/>
        <v>25.74</v>
      </c>
      <c r="BR188" s="546">
        <f t="shared" si="290"/>
        <v>1.769568642065282E-2</v>
      </c>
      <c r="BS188" s="546">
        <f t="shared" si="291"/>
        <v>7.297190276557868E-3</v>
      </c>
      <c r="BT188" s="546">
        <f t="shared" si="292"/>
        <v>1.3926862161630821E-2</v>
      </c>
      <c r="BU188" s="546"/>
      <c r="BV188" s="546">
        <f t="shared" si="293"/>
        <v>1.7063919372900336E-2</v>
      </c>
      <c r="BW188" s="472">
        <f t="shared" si="294"/>
        <v>55.983658231741842</v>
      </c>
      <c r="BX188" s="179">
        <f t="shared" si="295"/>
        <v>0.17179418446345587</v>
      </c>
      <c r="BY188" s="6">
        <f t="shared" si="296"/>
        <v>2.0592000000000001</v>
      </c>
      <c r="BZ188" s="179">
        <f t="shared" si="297"/>
        <v>0.92299657898715159</v>
      </c>
      <c r="CA188" s="6">
        <f t="shared" si="298"/>
        <v>92.299657898715154</v>
      </c>
      <c r="CD188" s="581">
        <f t="shared" si="327"/>
        <v>-50</v>
      </c>
      <c r="CE188">
        <f t="shared" si="328"/>
        <v>-50</v>
      </c>
    </row>
    <row r="189" spans="5:83" x14ac:dyDescent="0.2">
      <c r="E189" s="176">
        <v>79</v>
      </c>
      <c r="F189" s="223">
        <f t="shared" si="329"/>
        <v>8.6900000000000005E-2</v>
      </c>
      <c r="G189" s="223"/>
      <c r="H189" s="223">
        <f t="shared" si="299"/>
        <v>2.0856000000000003</v>
      </c>
      <c r="I189" s="559">
        <f t="shared" si="300"/>
        <v>10</v>
      </c>
      <c r="J189" s="454">
        <f t="shared" si="301"/>
        <v>24.25</v>
      </c>
      <c r="K189" s="454">
        <f t="shared" si="302"/>
        <v>34.25</v>
      </c>
      <c r="L189" s="454"/>
      <c r="M189" s="223">
        <f t="shared" si="303"/>
        <v>0.70802919708029199</v>
      </c>
      <c r="N189" s="178">
        <f t="shared" si="304"/>
        <v>4.8765510948905106</v>
      </c>
      <c r="O189" s="178">
        <f t="shared" si="244"/>
        <v>2.0856000000000003</v>
      </c>
      <c r="P189" s="223">
        <f t="shared" si="305"/>
        <v>0.20318962895377127</v>
      </c>
      <c r="Q189" s="223">
        <f t="shared" si="306"/>
        <v>24</v>
      </c>
      <c r="R189" s="223"/>
      <c r="S189" s="178">
        <f t="shared" si="307"/>
        <v>69.293716159910701</v>
      </c>
      <c r="T189" s="554">
        <f t="shared" si="308"/>
        <v>24</v>
      </c>
      <c r="U189" s="223">
        <f t="shared" si="309"/>
        <v>0.62013499728703214</v>
      </c>
      <c r="V189" s="223">
        <f t="shared" si="310"/>
        <v>2.9146344872490508</v>
      </c>
      <c r="W189" s="223">
        <f t="shared" si="311"/>
        <v>1.2019111287624953</v>
      </c>
      <c r="X189" s="203">
        <f t="shared" si="312"/>
        <v>350</v>
      </c>
      <c r="Y189" s="454">
        <f t="shared" si="279"/>
        <v>242.92212288634462</v>
      </c>
      <c r="AA189" s="223">
        <f t="shared" si="313"/>
        <v>0.43041288576309544</v>
      </c>
      <c r="AB189" s="179">
        <f t="shared" si="314"/>
        <v>0.83420229405630864</v>
      </c>
      <c r="AC189" s="179">
        <f t="shared" si="315"/>
        <v>6.2833997921619769E-2</v>
      </c>
      <c r="AD189" s="179"/>
      <c r="AE189" s="179">
        <f t="shared" si="316"/>
        <v>0.56206185567010303</v>
      </c>
      <c r="AF189" s="563">
        <f t="shared" si="317"/>
        <v>1066.2711564247227</v>
      </c>
      <c r="AG189" s="546">
        <f t="shared" si="318"/>
        <v>2.8524639175257726E-2</v>
      </c>
      <c r="AI189" s="179">
        <f t="shared" si="319"/>
        <v>0.5061716373363575</v>
      </c>
      <c r="AJ189" s="179">
        <f t="shared" si="320"/>
        <v>0.62013499728703214</v>
      </c>
      <c r="AK189" s="179">
        <f t="shared" si="321"/>
        <v>1.4445444424348386</v>
      </c>
      <c r="AM189" s="563">
        <f t="shared" si="322"/>
        <v>86.9</v>
      </c>
      <c r="AN189" s="472">
        <f t="shared" si="323"/>
        <v>242.92212288634462</v>
      </c>
      <c r="AP189">
        <f t="shared" si="324"/>
        <v>86.9</v>
      </c>
      <c r="AQ189">
        <f t="shared" si="325"/>
        <v>242.92212288634462</v>
      </c>
      <c r="AS189" s="6">
        <f t="shared" si="245"/>
        <v>4.1165456160115461</v>
      </c>
      <c r="AT189" s="6">
        <f t="shared" si="326"/>
        <v>2.9146344872490508</v>
      </c>
      <c r="AU189" s="6">
        <f t="shared" si="280"/>
        <v>1.2019111287624953</v>
      </c>
      <c r="AV189" s="6"/>
      <c r="AW189" s="179">
        <f t="shared" si="281"/>
        <v>0.70802919708029199</v>
      </c>
      <c r="AX189" s="179">
        <f t="shared" si="241"/>
        <v>2.1953684210526321</v>
      </c>
      <c r="AY189" s="179">
        <f t="shared" si="242"/>
        <v>9.053065653825286E-2</v>
      </c>
      <c r="AZ189" s="179">
        <f t="shared" si="246"/>
        <v>24.250000000000004</v>
      </c>
      <c r="BD189" s="179">
        <f t="shared" si="247"/>
        <v>0.30126674668069048</v>
      </c>
      <c r="BE189" s="179">
        <f t="shared" si="243"/>
        <v>0.19346184541444286</v>
      </c>
      <c r="BG189" s="546">
        <f t="shared" si="282"/>
        <v>3.1766578429448564E-2</v>
      </c>
      <c r="BH189" s="546">
        <f t="shared" si="283"/>
        <v>3.8696808510638295E-2</v>
      </c>
      <c r="BI189" s="546">
        <f t="shared" si="284"/>
        <v>3.0365265360793076E-3</v>
      </c>
      <c r="BJ189" s="546">
        <f t="shared" si="285"/>
        <v>1.4248141638918131E-2</v>
      </c>
      <c r="BK189">
        <f t="shared" si="286"/>
        <v>2.8999999999999998E-3</v>
      </c>
      <c r="BM189" s="472">
        <f t="shared" si="287"/>
        <v>90.64805511508429</v>
      </c>
      <c r="BN189" s="546">
        <f t="shared" si="288"/>
        <v>2.6069999999999999E-2</v>
      </c>
      <c r="BQ189" s="472">
        <f t="shared" si="289"/>
        <v>26.07</v>
      </c>
      <c r="BR189" s="546">
        <f t="shared" si="290"/>
        <v>1.8152330531113463E-2</v>
      </c>
      <c r="BS189" s="546">
        <f t="shared" si="291"/>
        <v>7.4854971262323577E-3</v>
      </c>
      <c r="BT189" s="546">
        <f t="shared" si="292"/>
        <v>1.3926862161630842E-2</v>
      </c>
      <c r="BU189" s="546"/>
      <c r="BV189" s="546">
        <f t="shared" si="293"/>
        <v>1.7282687569988808E-2</v>
      </c>
      <c r="BW189" s="472">
        <f t="shared" si="294"/>
        <v>56.847377388965477</v>
      </c>
      <c r="BX189" s="179">
        <f t="shared" si="295"/>
        <v>0.17356543250404974</v>
      </c>
      <c r="BY189" s="6">
        <f t="shared" si="296"/>
        <v>2.0856000000000003</v>
      </c>
      <c r="BZ189" s="179">
        <f t="shared" si="297"/>
        <v>0.92317276547929883</v>
      </c>
      <c r="CA189" s="6">
        <f t="shared" si="298"/>
        <v>92.317276547929879</v>
      </c>
      <c r="CD189" s="581">
        <f t="shared" si="327"/>
        <v>-50</v>
      </c>
      <c r="CE189">
        <f t="shared" si="328"/>
        <v>-50</v>
      </c>
    </row>
    <row r="190" spans="5:83" x14ac:dyDescent="0.2">
      <c r="E190" s="176">
        <v>80</v>
      </c>
      <c r="F190" s="223">
        <f t="shared" si="329"/>
        <v>8.8000000000000009E-2</v>
      </c>
      <c r="G190" s="223"/>
      <c r="H190" s="223">
        <f t="shared" si="299"/>
        <v>2.1120000000000001</v>
      </c>
      <c r="I190" s="559">
        <f t="shared" si="300"/>
        <v>10</v>
      </c>
      <c r="J190" s="454">
        <f t="shared" si="301"/>
        <v>24.25</v>
      </c>
      <c r="K190" s="454">
        <f t="shared" si="302"/>
        <v>34.25</v>
      </c>
      <c r="L190" s="454"/>
      <c r="M190" s="223">
        <f t="shared" si="303"/>
        <v>0.70802919708029199</v>
      </c>
      <c r="N190" s="178">
        <f t="shared" si="304"/>
        <v>4.8765510948905106</v>
      </c>
      <c r="O190" s="178">
        <f t="shared" si="244"/>
        <v>2.1120000000000001</v>
      </c>
      <c r="P190" s="223">
        <f t="shared" si="305"/>
        <v>0.20318962895377127</v>
      </c>
      <c r="Q190" s="223">
        <f t="shared" si="306"/>
        <v>24</v>
      </c>
      <c r="R190" s="223"/>
      <c r="S190" s="178">
        <f t="shared" si="307"/>
        <v>68.303513315623391</v>
      </c>
      <c r="T190" s="554">
        <f t="shared" si="308"/>
        <v>24</v>
      </c>
      <c r="U190" s="223">
        <f t="shared" si="309"/>
        <v>0.62798480737927298</v>
      </c>
      <c r="V190" s="223">
        <f t="shared" si="310"/>
        <v>2.9515285946825829</v>
      </c>
      <c r="W190" s="223">
        <f t="shared" si="311"/>
        <v>1.2171251936835394</v>
      </c>
      <c r="X190" s="203">
        <f t="shared" si="312"/>
        <v>350</v>
      </c>
      <c r="Y190" s="454">
        <f t="shared" si="279"/>
        <v>239.88559635026533</v>
      </c>
      <c r="AA190" s="223">
        <f t="shared" si="313"/>
        <v>0.43041288576309544</v>
      </c>
      <c r="AB190" s="179">
        <f t="shared" si="314"/>
        <v>0.83420229405630864</v>
      </c>
      <c r="AC190" s="179">
        <f t="shared" si="315"/>
        <v>6.2833997921619769E-2</v>
      </c>
      <c r="AD190" s="179"/>
      <c r="AE190" s="179">
        <f t="shared" si="316"/>
        <v>0.56206185567010303</v>
      </c>
      <c r="AF190" s="563">
        <f t="shared" si="317"/>
        <v>1079.7682596706052</v>
      </c>
      <c r="AG190" s="546">
        <f t="shared" si="318"/>
        <v>2.8524639175257726E-2</v>
      </c>
      <c r="AI190" s="179">
        <f t="shared" si="319"/>
        <v>0.50936518092425009</v>
      </c>
      <c r="AJ190" s="179">
        <f t="shared" si="320"/>
        <v>0.62798480737927298</v>
      </c>
      <c r="AK190" s="179">
        <f t="shared" si="321"/>
        <v>1.4503591165772391</v>
      </c>
      <c r="AM190" s="563">
        <f t="shared" si="322"/>
        <v>88.000000000000014</v>
      </c>
      <c r="AN190" s="472">
        <f t="shared" si="323"/>
        <v>239.88559635026533</v>
      </c>
      <c r="AP190">
        <f t="shared" si="324"/>
        <v>88.000000000000014</v>
      </c>
      <c r="AQ190">
        <f t="shared" si="325"/>
        <v>239.88559635026533</v>
      </c>
      <c r="AS190" s="6">
        <f t="shared" si="245"/>
        <v>4.1686537883661217</v>
      </c>
      <c r="AT190" s="6">
        <f t="shared" si="326"/>
        <v>2.9515285946825829</v>
      </c>
      <c r="AU190" s="6">
        <f t="shared" si="280"/>
        <v>1.2171251936835388</v>
      </c>
      <c r="AV190" s="6"/>
      <c r="AW190" s="179">
        <f t="shared" si="281"/>
        <v>0.70802919708029211</v>
      </c>
      <c r="AX190" s="179">
        <f t="shared" si="241"/>
        <v>2.2231578947368424</v>
      </c>
      <c r="AY190" s="179">
        <f t="shared" si="242"/>
        <v>9.1676614215952218E-2</v>
      </c>
      <c r="AZ190" s="179">
        <f t="shared" si="246"/>
        <v>24.250000000000014</v>
      </c>
      <c r="BD190" s="179">
        <f t="shared" si="247"/>
        <v>0.30508024980323084</v>
      </c>
      <c r="BE190" s="179">
        <f t="shared" si="243"/>
        <v>0.19591072953361297</v>
      </c>
      <c r="BG190" s="546">
        <f t="shared" si="282"/>
        <v>3.2575885587000607E-2</v>
      </c>
      <c r="BH190" s="546">
        <f t="shared" si="283"/>
        <v>3.8696808510638295E-2</v>
      </c>
      <c r="BI190" s="546">
        <f t="shared" si="284"/>
        <v>2.9985699543783168E-3</v>
      </c>
      <c r="BJ190" s="546">
        <f t="shared" si="285"/>
        <v>1.4070039868431656E-2</v>
      </c>
      <c r="BK190">
        <f t="shared" si="286"/>
        <v>2.8999999999999998E-3</v>
      </c>
      <c r="BM190" s="472">
        <f t="shared" si="287"/>
        <v>91.241303920448871</v>
      </c>
      <c r="BN190" s="546">
        <f t="shared" si="288"/>
        <v>2.6400000000000003E-2</v>
      </c>
      <c r="BQ190" s="472">
        <f t="shared" si="289"/>
        <v>26.400000000000002</v>
      </c>
      <c r="BR190" s="546">
        <f t="shared" si="290"/>
        <v>1.8614791764000348E-2</v>
      </c>
      <c r="BS190" s="546">
        <f t="shared" si="291"/>
        <v>7.6762027892784898E-3</v>
      </c>
      <c r="BT190" s="546">
        <f t="shared" si="292"/>
        <v>1.392686216163083E-2</v>
      </c>
      <c r="BU190" s="546"/>
      <c r="BV190" s="546">
        <f t="shared" si="293"/>
        <v>1.7501455767077272E-2</v>
      </c>
      <c r="BW190" s="472">
        <f t="shared" si="294"/>
        <v>57.719312481986947</v>
      </c>
      <c r="BX190" s="179">
        <f t="shared" si="295"/>
        <v>0.1753606164024358</v>
      </c>
      <c r="BY190" s="6">
        <f t="shared" si="296"/>
        <v>2.1120000000000001</v>
      </c>
      <c r="BZ190" s="179">
        <f t="shared" si="297"/>
        <v>0.92333494983478248</v>
      </c>
      <c r="CA190" s="6">
        <f t="shared" si="298"/>
        <v>92.333494983478246</v>
      </c>
      <c r="CD190" s="581">
        <f t="shared" si="327"/>
        <v>-50</v>
      </c>
      <c r="CE190">
        <f t="shared" si="328"/>
        <v>-50</v>
      </c>
    </row>
    <row r="191" spans="5:83" x14ac:dyDescent="0.2">
      <c r="E191" s="176">
        <v>81</v>
      </c>
      <c r="F191" s="223">
        <f t="shared" si="329"/>
        <v>8.9100000000000013E-2</v>
      </c>
      <c r="G191" s="223"/>
      <c r="H191" s="223">
        <f t="shared" si="299"/>
        <v>2.1384000000000003</v>
      </c>
      <c r="I191" s="559">
        <f t="shared" si="300"/>
        <v>10</v>
      </c>
      <c r="J191" s="454">
        <f t="shared" si="301"/>
        <v>24.25</v>
      </c>
      <c r="K191" s="454">
        <f t="shared" si="302"/>
        <v>34.25</v>
      </c>
      <c r="L191" s="454"/>
      <c r="M191" s="223">
        <f t="shared" si="303"/>
        <v>0.70802919708029199</v>
      </c>
      <c r="N191" s="178">
        <f t="shared" si="304"/>
        <v>4.8765510948905106</v>
      </c>
      <c r="O191" s="178">
        <f t="shared" si="244"/>
        <v>2.1384000000000003</v>
      </c>
      <c r="P191" s="223">
        <f t="shared" si="305"/>
        <v>0.20318962895377127</v>
      </c>
      <c r="Q191" s="223">
        <f t="shared" si="306"/>
        <v>24</v>
      </c>
      <c r="R191" s="223"/>
      <c r="S191" s="178">
        <f t="shared" si="307"/>
        <v>67.337774572071538</v>
      </c>
      <c r="T191" s="554">
        <f t="shared" si="308"/>
        <v>24</v>
      </c>
      <c r="U191" s="223">
        <f t="shared" si="309"/>
        <v>0.63583461747151393</v>
      </c>
      <c r="V191" s="223">
        <f t="shared" si="310"/>
        <v>2.9884227021161154</v>
      </c>
      <c r="W191" s="223">
        <f t="shared" si="311"/>
        <v>1.2323392586045836</v>
      </c>
      <c r="X191" s="203">
        <f t="shared" si="312"/>
        <v>350</v>
      </c>
      <c r="Y191" s="454">
        <f t="shared" si="279"/>
        <v>236.92404577803984</v>
      </c>
      <c r="AA191" s="223">
        <f t="shared" si="313"/>
        <v>0.43041288576309544</v>
      </c>
      <c r="AB191" s="179">
        <f t="shared" si="314"/>
        <v>0.83420229405630864</v>
      </c>
      <c r="AC191" s="179">
        <f t="shared" si="315"/>
        <v>6.2833997921619769E-2</v>
      </c>
      <c r="AD191" s="179"/>
      <c r="AE191" s="179">
        <f t="shared" si="316"/>
        <v>0.56206185567010303</v>
      </c>
      <c r="AF191" s="563">
        <f t="shared" si="317"/>
        <v>1093.2653629164877</v>
      </c>
      <c r="AG191" s="546">
        <f t="shared" si="318"/>
        <v>2.8524639175257726E-2</v>
      </c>
      <c r="AI191" s="179">
        <f t="shared" si="319"/>
        <v>0.51253882646314597</v>
      </c>
      <c r="AJ191" s="179">
        <f t="shared" si="320"/>
        <v>0.63583461747151393</v>
      </c>
      <c r="AK191" s="179">
        <f t="shared" si="321"/>
        <v>1.4561737907196399</v>
      </c>
      <c r="AM191" s="563">
        <f t="shared" si="322"/>
        <v>89.100000000000009</v>
      </c>
      <c r="AN191" s="472">
        <f t="shared" si="323"/>
        <v>236.92404577803984</v>
      </c>
      <c r="AP191">
        <f t="shared" si="324"/>
        <v>89.100000000000009</v>
      </c>
      <c r="AQ191">
        <f t="shared" si="325"/>
        <v>236.92404577803984</v>
      </c>
      <c r="AS191" s="6">
        <f t="shared" si="245"/>
        <v>4.2207619607206981</v>
      </c>
      <c r="AT191" s="6">
        <f t="shared" si="326"/>
        <v>2.9884227021161154</v>
      </c>
      <c r="AU191" s="6">
        <f t="shared" si="280"/>
        <v>1.2323392586045827</v>
      </c>
      <c r="AV191" s="6"/>
      <c r="AW191" s="179">
        <f t="shared" si="281"/>
        <v>0.70802919708029211</v>
      </c>
      <c r="AX191" s="179">
        <f t="shared" si="241"/>
        <v>2.2509473684210528</v>
      </c>
      <c r="AY191" s="179">
        <f t="shared" si="242"/>
        <v>9.2822571893651631E-2</v>
      </c>
      <c r="AZ191" s="179">
        <f t="shared" si="246"/>
        <v>24.250000000000007</v>
      </c>
      <c r="BD191" s="179">
        <f t="shared" si="247"/>
        <v>0.30889375292577126</v>
      </c>
      <c r="BE191" s="179">
        <f t="shared" si="243"/>
        <v>0.19835961365278312</v>
      </c>
      <c r="BG191" s="546">
        <f t="shared" si="282"/>
        <v>3.3395372708798596E-2</v>
      </c>
      <c r="BH191" s="546">
        <f t="shared" si="283"/>
        <v>3.8696808510638295E-2</v>
      </c>
      <c r="BI191" s="546">
        <f t="shared" si="284"/>
        <v>2.9615505722254977E-3</v>
      </c>
      <c r="BJ191" s="546">
        <f t="shared" si="285"/>
        <v>1.3896335672525094E-2</v>
      </c>
      <c r="BK191">
        <f t="shared" si="286"/>
        <v>2.8999999999999998E-3</v>
      </c>
      <c r="BM191" s="472">
        <f t="shared" si="287"/>
        <v>91.850067464187489</v>
      </c>
      <c r="BN191" s="546">
        <f t="shared" si="288"/>
        <v>2.6730000000000004E-2</v>
      </c>
      <c r="BQ191" s="472">
        <f t="shared" si="289"/>
        <v>26.730000000000004</v>
      </c>
      <c r="BR191" s="546">
        <f t="shared" si="290"/>
        <v>1.9083070119313483E-2</v>
      </c>
      <c r="BS191" s="546">
        <f t="shared" si="291"/>
        <v>7.8693072656962765E-3</v>
      </c>
      <c r="BT191" s="546">
        <f t="shared" si="292"/>
        <v>1.3926862161630851E-2</v>
      </c>
      <c r="BU191" s="546"/>
      <c r="BV191" s="546">
        <f t="shared" si="293"/>
        <v>1.7720223964165737E-2</v>
      </c>
      <c r="BW191" s="472">
        <f t="shared" si="294"/>
        <v>58.599463510806345</v>
      </c>
      <c r="BX191" s="179">
        <f t="shared" si="295"/>
        <v>0.17717953097499384</v>
      </c>
      <c r="BY191" s="6">
        <f t="shared" si="296"/>
        <v>2.1384000000000003</v>
      </c>
      <c r="BZ191" s="179">
        <f t="shared" si="297"/>
        <v>0.92348372033657122</v>
      </c>
      <c r="CA191" s="6">
        <f t="shared" si="298"/>
        <v>92.348372033657128</v>
      </c>
      <c r="CD191" s="581">
        <f t="shared" si="327"/>
        <v>-50</v>
      </c>
      <c r="CE191">
        <f t="shared" si="328"/>
        <v>-50</v>
      </c>
    </row>
    <row r="192" spans="5:83" x14ac:dyDescent="0.2">
      <c r="E192" s="176">
        <v>82</v>
      </c>
      <c r="F192" s="223">
        <f t="shared" si="329"/>
        <v>9.0199999999999989E-2</v>
      </c>
      <c r="G192" s="223"/>
      <c r="H192" s="223">
        <f t="shared" si="299"/>
        <v>2.1647999999999996</v>
      </c>
      <c r="I192" s="559">
        <f t="shared" si="300"/>
        <v>10</v>
      </c>
      <c r="J192" s="454">
        <f t="shared" si="301"/>
        <v>24.25</v>
      </c>
      <c r="K192" s="454">
        <f t="shared" si="302"/>
        <v>34.25</v>
      </c>
      <c r="L192" s="454"/>
      <c r="M192" s="223">
        <f t="shared" si="303"/>
        <v>0.70802919708029199</v>
      </c>
      <c r="N192" s="178">
        <f t="shared" si="304"/>
        <v>4.8765510948905106</v>
      </c>
      <c r="O192" s="178">
        <f t="shared" si="244"/>
        <v>2.1647999999999996</v>
      </c>
      <c r="P192" s="223">
        <f t="shared" si="305"/>
        <v>0.20318962895377127</v>
      </c>
      <c r="Q192" s="223">
        <f t="shared" si="306"/>
        <v>24</v>
      </c>
      <c r="R192" s="223"/>
      <c r="S192" s="178">
        <f t="shared" si="307"/>
        <v>66.39560497733008</v>
      </c>
      <c r="T192" s="554">
        <f t="shared" si="308"/>
        <v>24</v>
      </c>
      <c r="U192" s="223">
        <f t="shared" si="309"/>
        <v>0.64368442756375466</v>
      </c>
      <c r="V192" s="223">
        <f t="shared" si="310"/>
        <v>3.0253168095496465</v>
      </c>
      <c r="W192" s="223">
        <f t="shared" si="311"/>
        <v>1.2475533235256275</v>
      </c>
      <c r="X192" s="203">
        <f t="shared" si="312"/>
        <v>350</v>
      </c>
      <c r="Y192" s="454">
        <f t="shared" si="279"/>
        <v>234.03472814660037</v>
      </c>
      <c r="AA192" s="223">
        <f t="shared" si="313"/>
        <v>0.43041288576309544</v>
      </c>
      <c r="AB192" s="179">
        <f t="shared" si="314"/>
        <v>0.83420229405630864</v>
      </c>
      <c r="AC192" s="179">
        <f t="shared" si="315"/>
        <v>6.2833997921619769E-2</v>
      </c>
      <c r="AD192" s="179"/>
      <c r="AE192" s="179">
        <f t="shared" si="316"/>
        <v>0.56206185567010303</v>
      </c>
      <c r="AF192" s="563">
        <f t="shared" si="317"/>
        <v>1106.7624661623699</v>
      </c>
      <c r="AG192" s="546">
        <f t="shared" si="318"/>
        <v>2.8524639175257726E-2</v>
      </c>
      <c r="AI192" s="179">
        <f t="shared" si="319"/>
        <v>0.51569294131919596</v>
      </c>
      <c r="AJ192" s="179">
        <f t="shared" si="320"/>
        <v>0.64368442756375466</v>
      </c>
      <c r="AK192" s="179">
        <f t="shared" si="321"/>
        <v>1.4619884648620405</v>
      </c>
      <c r="AM192" s="563">
        <f t="shared" si="322"/>
        <v>90.199999999999989</v>
      </c>
      <c r="AN192" s="472">
        <f t="shared" si="323"/>
        <v>234.03472814660037</v>
      </c>
      <c r="AP192">
        <f t="shared" si="324"/>
        <v>90.199999999999989</v>
      </c>
      <c r="AQ192">
        <f t="shared" si="325"/>
        <v>234.03472814660037</v>
      </c>
      <c r="AS192" s="6">
        <f t="shared" si="245"/>
        <v>4.2728701330752745</v>
      </c>
      <c r="AT192" s="6">
        <f t="shared" si="326"/>
        <v>3.0253168095496465</v>
      </c>
      <c r="AU192" s="6">
        <f t="shared" si="280"/>
        <v>1.247553323525628</v>
      </c>
      <c r="AV192" s="6"/>
      <c r="AW192" s="179">
        <f t="shared" si="281"/>
        <v>0.70802919708029188</v>
      </c>
      <c r="AX192" s="179">
        <f t="shared" si="241"/>
        <v>2.2787368421052627</v>
      </c>
      <c r="AY192" s="179">
        <f t="shared" si="242"/>
        <v>9.3968529571351073E-2</v>
      </c>
      <c r="AZ192" s="179">
        <f t="shared" si="246"/>
        <v>24.249999999999993</v>
      </c>
      <c r="BD192" s="179">
        <f t="shared" si="247"/>
        <v>0.31270725604831151</v>
      </c>
      <c r="BE192" s="179">
        <f t="shared" si="243"/>
        <v>0.20080849777195331</v>
      </c>
      <c r="BG192" s="546">
        <f t="shared" si="282"/>
        <v>3.4225039794842482E-2</v>
      </c>
      <c r="BH192" s="546">
        <f t="shared" si="283"/>
        <v>3.8696808510638295E-2</v>
      </c>
      <c r="BI192" s="546">
        <f t="shared" si="284"/>
        <v>2.9254341018325044E-3</v>
      </c>
      <c r="BJ192" s="546">
        <f t="shared" si="285"/>
        <v>1.372686816432357E-2</v>
      </c>
      <c r="BK192">
        <f t="shared" si="286"/>
        <v>2.8999999999999998E-3</v>
      </c>
      <c r="BM192" s="472">
        <f t="shared" si="287"/>
        <v>92.474150571636855</v>
      </c>
      <c r="BN192" s="546">
        <f t="shared" si="288"/>
        <v>2.7059999999999997E-2</v>
      </c>
      <c r="BQ192" s="472">
        <f t="shared" si="289"/>
        <v>27.06</v>
      </c>
      <c r="BR192" s="546">
        <f t="shared" si="290"/>
        <v>1.9557165597052853E-2</v>
      </c>
      <c r="BS192" s="546">
        <f t="shared" si="291"/>
        <v>8.0648105554857168E-3</v>
      </c>
      <c r="BT192" s="546">
        <f t="shared" si="292"/>
        <v>1.3926862161630837E-2</v>
      </c>
      <c r="BU192" s="546"/>
      <c r="BV192" s="546">
        <f t="shared" si="293"/>
        <v>1.7938992161254195E-2</v>
      </c>
      <c r="BW192" s="472">
        <f t="shared" si="294"/>
        <v>59.487830475423607</v>
      </c>
      <c r="BX192" s="179">
        <f t="shared" si="295"/>
        <v>0.17902198104706044</v>
      </c>
      <c r="BY192" s="6">
        <f t="shared" si="296"/>
        <v>2.1647999999999996</v>
      </c>
      <c r="BZ192" s="179">
        <f t="shared" si="297"/>
        <v>0.92361963387377832</v>
      </c>
      <c r="CA192" s="6">
        <f t="shared" si="298"/>
        <v>92.361963387377827</v>
      </c>
      <c r="CD192" s="581">
        <f t="shared" si="327"/>
        <v>-50</v>
      </c>
      <c r="CE192">
        <f t="shared" si="328"/>
        <v>-50</v>
      </c>
    </row>
    <row r="193" spans="5:83" x14ac:dyDescent="0.2">
      <c r="E193" s="176">
        <v>83</v>
      </c>
      <c r="F193" s="223">
        <f t="shared" si="329"/>
        <v>9.1299999999999992E-2</v>
      </c>
      <c r="G193" s="223"/>
      <c r="H193" s="223">
        <f t="shared" si="299"/>
        <v>2.1911999999999998</v>
      </c>
      <c r="I193" s="559">
        <f t="shared" si="300"/>
        <v>10</v>
      </c>
      <c r="J193" s="454">
        <f t="shared" si="301"/>
        <v>24.25</v>
      </c>
      <c r="K193" s="454">
        <f t="shared" si="302"/>
        <v>34.25</v>
      </c>
      <c r="L193" s="454"/>
      <c r="M193" s="223">
        <f t="shared" si="303"/>
        <v>0.70802919708029199</v>
      </c>
      <c r="N193" s="178">
        <f t="shared" si="304"/>
        <v>4.8765510948905106</v>
      </c>
      <c r="O193" s="178">
        <f t="shared" si="244"/>
        <v>2.1911999999999998</v>
      </c>
      <c r="P193" s="223">
        <f t="shared" si="305"/>
        <v>0.20318962895377127</v>
      </c>
      <c r="Q193" s="223">
        <f t="shared" si="306"/>
        <v>24</v>
      </c>
      <c r="R193" s="223"/>
      <c r="S193" s="178">
        <f t="shared" si="307"/>
        <v>65.476152710197098</v>
      </c>
      <c r="T193" s="554">
        <f t="shared" si="308"/>
        <v>24</v>
      </c>
      <c r="U193" s="223">
        <f t="shared" si="309"/>
        <v>0.65153423765599561</v>
      </c>
      <c r="V193" s="223">
        <f t="shared" si="310"/>
        <v>3.062210916983179</v>
      </c>
      <c r="W193" s="223">
        <f t="shared" si="311"/>
        <v>1.2627673884466717</v>
      </c>
      <c r="X193" s="203">
        <f t="shared" si="312"/>
        <v>350</v>
      </c>
      <c r="Y193" s="454">
        <f t="shared" si="279"/>
        <v>231.21503262676183</v>
      </c>
      <c r="AA193" s="223">
        <f t="shared" si="313"/>
        <v>0.43041288576309544</v>
      </c>
      <c r="AB193" s="179">
        <f t="shared" si="314"/>
        <v>0.83420229405630864</v>
      </c>
      <c r="AC193" s="179">
        <f t="shared" si="315"/>
        <v>6.2833997921619769E-2</v>
      </c>
      <c r="AD193" s="179"/>
      <c r="AE193" s="179">
        <f t="shared" si="316"/>
        <v>0.56206185567010303</v>
      </c>
      <c r="AF193" s="563">
        <f t="shared" si="317"/>
        <v>1120.2595694082529</v>
      </c>
      <c r="AG193" s="546">
        <f t="shared" si="318"/>
        <v>2.8524639175257726E-2</v>
      </c>
      <c r="AI193" s="179">
        <f t="shared" si="319"/>
        <v>0.51882788169167304</v>
      </c>
      <c r="AJ193" s="179">
        <f t="shared" si="320"/>
        <v>0.65153423765599561</v>
      </c>
      <c r="AK193" s="179">
        <f t="shared" si="321"/>
        <v>1.4678031390044413</v>
      </c>
      <c r="AM193" s="563">
        <f t="shared" si="322"/>
        <v>91.3</v>
      </c>
      <c r="AN193" s="472">
        <f t="shared" si="323"/>
        <v>231.21503262676183</v>
      </c>
      <c r="AP193">
        <f t="shared" si="324"/>
        <v>91.3</v>
      </c>
      <c r="AQ193">
        <f t="shared" si="325"/>
        <v>231.21503262676183</v>
      </c>
      <c r="AS193" s="6">
        <f t="shared" si="245"/>
        <v>4.324978305429851</v>
      </c>
      <c r="AT193" s="6">
        <f t="shared" si="326"/>
        <v>3.062210916983179</v>
      </c>
      <c r="AU193" s="6">
        <f t="shared" si="280"/>
        <v>1.2627673884466719</v>
      </c>
      <c r="AV193" s="6"/>
      <c r="AW193" s="179">
        <f t="shared" si="281"/>
        <v>0.70802919708029199</v>
      </c>
      <c r="AX193" s="179">
        <f t="shared" si="241"/>
        <v>2.3065263157894735</v>
      </c>
      <c r="AY193" s="179">
        <f t="shared" si="242"/>
        <v>9.5114487249050444E-2</v>
      </c>
      <c r="AZ193" s="179">
        <f t="shared" si="246"/>
        <v>24.250000000000004</v>
      </c>
      <c r="BD193" s="179">
        <f t="shared" si="247"/>
        <v>0.31652075917085193</v>
      </c>
      <c r="BE193" s="179">
        <f t="shared" si="243"/>
        <v>0.20325738189112344</v>
      </c>
      <c r="BG193" s="546">
        <f t="shared" si="282"/>
        <v>3.5064886845132349E-2</v>
      </c>
      <c r="BH193" s="546">
        <f t="shared" si="283"/>
        <v>3.8696808510638302E-2</v>
      </c>
      <c r="BI193" s="546">
        <f t="shared" si="284"/>
        <v>2.8901879078345231E-3</v>
      </c>
      <c r="BJ193" s="546">
        <f t="shared" si="285"/>
        <v>1.356148421053654E-2</v>
      </c>
      <c r="BK193">
        <f t="shared" si="286"/>
        <v>2.8999999999999998E-3</v>
      </c>
      <c r="BM193" s="472">
        <f t="shared" si="287"/>
        <v>93.113367474141711</v>
      </c>
      <c r="BN193" s="546">
        <f t="shared" si="288"/>
        <v>2.7389999999999998E-2</v>
      </c>
      <c r="BQ193" s="472">
        <f t="shared" si="289"/>
        <v>27.389999999999997</v>
      </c>
      <c r="BR193" s="546">
        <f t="shared" si="290"/>
        <v>2.0037078197218491E-2</v>
      </c>
      <c r="BS193" s="546">
        <f t="shared" si="291"/>
        <v>8.2627126586468005E-3</v>
      </c>
      <c r="BT193" s="546">
        <f t="shared" si="292"/>
        <v>1.3926862161630839E-2</v>
      </c>
      <c r="BU193" s="546"/>
      <c r="BV193" s="546">
        <f t="shared" si="293"/>
        <v>1.8157760358342667E-2</v>
      </c>
      <c r="BW193" s="472">
        <f t="shared" si="294"/>
        <v>60.384413375838804</v>
      </c>
      <c r="BX193" s="179">
        <f t="shared" si="295"/>
        <v>0.1808877808499805</v>
      </c>
      <c r="BY193" s="6">
        <f t="shared" si="296"/>
        <v>2.1911999999999998</v>
      </c>
      <c r="BZ193" s="179">
        <f t="shared" si="297"/>
        <v>0.92374321797435177</v>
      </c>
      <c r="CA193" s="6">
        <f t="shared" si="298"/>
        <v>92.374321797435172</v>
      </c>
      <c r="CD193" s="581">
        <f t="shared" si="327"/>
        <v>-50</v>
      </c>
      <c r="CE193">
        <f t="shared" si="328"/>
        <v>-50</v>
      </c>
    </row>
    <row r="194" spans="5:83" x14ac:dyDescent="0.2">
      <c r="E194" s="176">
        <v>84</v>
      </c>
      <c r="F194" s="223">
        <f t="shared" si="329"/>
        <v>9.2399999999999996E-2</v>
      </c>
      <c r="G194" s="223"/>
      <c r="H194" s="223">
        <f t="shared" si="299"/>
        <v>2.2176</v>
      </c>
      <c r="I194" s="559">
        <f t="shared" si="300"/>
        <v>10</v>
      </c>
      <c r="J194" s="454">
        <f t="shared" si="301"/>
        <v>24.25</v>
      </c>
      <c r="K194" s="454">
        <f t="shared" si="302"/>
        <v>34.25</v>
      </c>
      <c r="L194" s="454"/>
      <c r="M194" s="223">
        <f t="shared" si="303"/>
        <v>0.70802919708029199</v>
      </c>
      <c r="N194" s="178">
        <f t="shared" si="304"/>
        <v>4.8765510948905106</v>
      </c>
      <c r="O194" s="178">
        <f t="shared" si="244"/>
        <v>2.2176</v>
      </c>
      <c r="P194" s="223">
        <f t="shared" si="305"/>
        <v>0.20318962895377127</v>
      </c>
      <c r="Q194" s="223">
        <f t="shared" si="306"/>
        <v>24</v>
      </c>
      <c r="R194" s="223"/>
      <c r="S194" s="178">
        <f t="shared" si="307"/>
        <v>64.578606512893117</v>
      </c>
      <c r="T194" s="554">
        <f t="shared" si="308"/>
        <v>24</v>
      </c>
      <c r="U194" s="223">
        <f t="shared" si="309"/>
        <v>0.65938404774823656</v>
      </c>
      <c r="V194" s="223">
        <f t="shared" si="310"/>
        <v>3.099105024416712</v>
      </c>
      <c r="W194" s="223">
        <f t="shared" si="311"/>
        <v>1.2779814533677163</v>
      </c>
      <c r="X194" s="203">
        <f t="shared" si="312"/>
        <v>350</v>
      </c>
      <c r="Y194" s="454">
        <f t="shared" si="279"/>
        <v>228.46247271453842</v>
      </c>
      <c r="AA194" s="223">
        <f t="shared" si="313"/>
        <v>0.43041288576309544</v>
      </c>
      <c r="AB194" s="179">
        <f t="shared" si="314"/>
        <v>0.83420229405630864</v>
      </c>
      <c r="AC194" s="179">
        <f t="shared" si="315"/>
        <v>6.2833997921619769E-2</v>
      </c>
      <c r="AD194" s="179"/>
      <c r="AE194" s="179">
        <f t="shared" si="316"/>
        <v>0.56206185567010303</v>
      </c>
      <c r="AF194" s="563">
        <f t="shared" si="317"/>
        <v>1133.7566726541354</v>
      </c>
      <c r="AG194" s="546">
        <f t="shared" si="318"/>
        <v>2.8524639175257726E-2</v>
      </c>
      <c r="AI194" s="179">
        <f t="shared" si="319"/>
        <v>0.52194399308248929</v>
      </c>
      <c r="AJ194" s="179">
        <f t="shared" si="320"/>
        <v>0.65938404774823656</v>
      </c>
      <c r="AK194" s="179">
        <f t="shared" si="321"/>
        <v>1.4736178131468418</v>
      </c>
      <c r="AM194" s="563">
        <f t="shared" si="322"/>
        <v>92.399999999999991</v>
      </c>
      <c r="AN194" s="472">
        <f t="shared" si="323"/>
        <v>228.46247271453842</v>
      </c>
      <c r="AP194">
        <f t="shared" si="324"/>
        <v>92.399999999999991</v>
      </c>
      <c r="AQ194">
        <f t="shared" si="325"/>
        <v>228.46247271453842</v>
      </c>
      <c r="AS194" s="6">
        <f t="shared" si="245"/>
        <v>4.3770864777844283</v>
      </c>
      <c r="AT194" s="6">
        <f t="shared" si="326"/>
        <v>3.099105024416712</v>
      </c>
      <c r="AU194" s="6">
        <f t="shared" si="280"/>
        <v>1.2779814533677163</v>
      </c>
      <c r="AV194" s="6"/>
      <c r="AW194" s="179">
        <f t="shared" si="281"/>
        <v>0.70802919708029199</v>
      </c>
      <c r="AX194" s="179">
        <f t="shared" si="241"/>
        <v>2.3343157894736839</v>
      </c>
      <c r="AY194" s="179">
        <f t="shared" si="242"/>
        <v>9.6260444926749858E-2</v>
      </c>
      <c r="AZ194" s="179">
        <f t="shared" si="246"/>
        <v>24.25</v>
      </c>
      <c r="BD194" s="179">
        <f t="shared" si="247"/>
        <v>0.32033426229339235</v>
      </c>
      <c r="BE194" s="179">
        <f t="shared" si="243"/>
        <v>0.20570626601029363</v>
      </c>
      <c r="BG194" s="546">
        <f t="shared" si="282"/>
        <v>3.5914913859668156E-2</v>
      </c>
      <c r="BH194" s="546">
        <f t="shared" si="283"/>
        <v>3.8696808510638288E-2</v>
      </c>
      <c r="BI194" s="546">
        <f t="shared" si="284"/>
        <v>2.8557809089317303E-3</v>
      </c>
      <c r="BJ194" s="546">
        <f t="shared" si="285"/>
        <v>1.340003796993491E-2</v>
      </c>
      <c r="BK194">
        <f t="shared" si="286"/>
        <v>2.8999999999999998E-3</v>
      </c>
      <c r="BM194" s="472">
        <f t="shared" si="287"/>
        <v>93.767541249173078</v>
      </c>
      <c r="BN194" s="546">
        <f t="shared" si="288"/>
        <v>2.7719999999999998E-2</v>
      </c>
      <c r="BQ194" s="472">
        <f t="shared" si="289"/>
        <v>27.72</v>
      </c>
      <c r="BR194" s="546">
        <f t="shared" si="290"/>
        <v>2.0522807919810378E-2</v>
      </c>
      <c r="BS194" s="546">
        <f t="shared" si="291"/>
        <v>8.4630135751795378E-3</v>
      </c>
      <c r="BT194" s="546">
        <f t="shared" si="292"/>
        <v>1.3926862161630828E-2</v>
      </c>
      <c r="BU194" s="546"/>
      <c r="BV194" s="546">
        <f t="shared" si="293"/>
        <v>1.8376528555431131E-2</v>
      </c>
      <c r="BW194" s="472">
        <f t="shared" si="294"/>
        <v>61.289212212051872</v>
      </c>
      <c r="BX194" s="179">
        <f t="shared" si="295"/>
        <v>0.18277675346122493</v>
      </c>
      <c r="BY194" s="6">
        <f t="shared" si="296"/>
        <v>2.2176</v>
      </c>
      <c r="BZ194" s="179">
        <f t="shared" si="297"/>
        <v>0.92385497268390471</v>
      </c>
      <c r="CA194" s="6">
        <f t="shared" si="298"/>
        <v>92.385497268390466</v>
      </c>
      <c r="CD194" s="581">
        <f t="shared" si="327"/>
        <v>-50</v>
      </c>
      <c r="CE194">
        <f t="shared" si="328"/>
        <v>-50</v>
      </c>
    </row>
    <row r="195" spans="5:83" x14ac:dyDescent="0.2">
      <c r="E195" s="176">
        <v>85</v>
      </c>
      <c r="F195" s="223">
        <f t="shared" si="329"/>
        <v>9.35E-2</v>
      </c>
      <c r="G195" s="223"/>
      <c r="H195" s="223">
        <f t="shared" si="299"/>
        <v>2.2439999999999998</v>
      </c>
      <c r="I195" s="559">
        <f t="shared" si="300"/>
        <v>10</v>
      </c>
      <c r="J195" s="454">
        <f t="shared" si="301"/>
        <v>24.25</v>
      </c>
      <c r="K195" s="454">
        <f t="shared" si="302"/>
        <v>34.25</v>
      </c>
      <c r="L195" s="454"/>
      <c r="M195" s="223">
        <f t="shared" si="303"/>
        <v>0.70802919708029199</v>
      </c>
      <c r="N195" s="178">
        <f t="shared" si="304"/>
        <v>4.8765510948905106</v>
      </c>
      <c r="O195" s="178">
        <f t="shared" si="244"/>
        <v>2.2439999999999998</v>
      </c>
      <c r="P195" s="223">
        <f t="shared" si="305"/>
        <v>0.20318962895377127</v>
      </c>
      <c r="Q195" s="223">
        <f t="shared" si="306"/>
        <v>24</v>
      </c>
      <c r="R195" s="223"/>
      <c r="S195" s="178">
        <f t="shared" si="307"/>
        <v>63.702193304981407</v>
      </c>
      <c r="T195" s="554">
        <f t="shared" si="308"/>
        <v>24</v>
      </c>
      <c r="U195" s="223">
        <f t="shared" si="309"/>
        <v>0.6672338578404774</v>
      </c>
      <c r="V195" s="223">
        <f t="shared" si="310"/>
        <v>3.1359991318502431</v>
      </c>
      <c r="W195" s="223">
        <f t="shared" si="311"/>
        <v>1.29319551828876</v>
      </c>
      <c r="X195" s="203">
        <f t="shared" si="312"/>
        <v>350</v>
      </c>
      <c r="Y195" s="454">
        <f t="shared" si="279"/>
        <v>225.77467891789686</v>
      </c>
      <c r="AA195" s="223">
        <f t="shared" si="313"/>
        <v>0.43041288576309544</v>
      </c>
      <c r="AB195" s="179">
        <f t="shared" si="314"/>
        <v>0.83420229405630864</v>
      </c>
      <c r="AC195" s="179">
        <f t="shared" si="315"/>
        <v>6.2833997921619769E-2</v>
      </c>
      <c r="AD195" s="179"/>
      <c r="AE195" s="179">
        <f t="shared" si="316"/>
        <v>0.56206185567010303</v>
      </c>
      <c r="AF195" s="563">
        <f t="shared" si="317"/>
        <v>1147.2537759000179</v>
      </c>
      <c r="AG195" s="546">
        <f t="shared" si="318"/>
        <v>2.8524639175257726E-2</v>
      </c>
      <c r="AI195" s="179">
        <f t="shared" si="319"/>
        <v>0.52504161074063316</v>
      </c>
      <c r="AJ195" s="179">
        <f t="shared" si="320"/>
        <v>0.6672338578404774</v>
      </c>
      <c r="AK195" s="179">
        <f t="shared" si="321"/>
        <v>1.4794324872892424</v>
      </c>
      <c r="AM195" s="563">
        <f t="shared" si="322"/>
        <v>93.5</v>
      </c>
      <c r="AN195" s="472">
        <f t="shared" si="323"/>
        <v>225.77467891789686</v>
      </c>
      <c r="AP195">
        <f t="shared" si="324"/>
        <v>93.5</v>
      </c>
      <c r="AQ195">
        <f t="shared" si="325"/>
        <v>225.77467891789686</v>
      </c>
      <c r="AS195" s="6">
        <f t="shared" si="245"/>
        <v>4.4291946501390038</v>
      </c>
      <c r="AT195" s="6">
        <f t="shared" si="326"/>
        <v>3.1359991318502431</v>
      </c>
      <c r="AU195" s="6">
        <f t="shared" si="280"/>
        <v>1.2931955182887607</v>
      </c>
      <c r="AV195" s="6"/>
      <c r="AW195" s="179">
        <f t="shared" si="281"/>
        <v>0.70802919708029188</v>
      </c>
      <c r="AX195" s="179">
        <f t="shared" si="241"/>
        <v>2.3621052631578947</v>
      </c>
      <c r="AY195" s="179">
        <f t="shared" si="242"/>
        <v>9.7406402604449285E-2</v>
      </c>
      <c r="AZ195" s="179">
        <f t="shared" si="246"/>
        <v>24.249999999999996</v>
      </c>
      <c r="BD195" s="179">
        <f t="shared" si="247"/>
        <v>0.32414776541593265</v>
      </c>
      <c r="BE195" s="179">
        <f t="shared" si="243"/>
        <v>0.20815515012946378</v>
      </c>
      <c r="BG195" s="546">
        <f t="shared" si="282"/>
        <v>3.6775120838449873E-2</v>
      </c>
      <c r="BH195" s="546">
        <f t="shared" si="283"/>
        <v>3.8696808510638295E-2</v>
      </c>
      <c r="BI195" s="546">
        <f t="shared" si="284"/>
        <v>2.8221834864737105E-3</v>
      </c>
      <c r="BJ195" s="546">
        <f t="shared" si="285"/>
        <v>1.3242390464406268E-2</v>
      </c>
      <c r="BK195">
        <f t="shared" si="286"/>
        <v>2.8999999999999998E-3</v>
      </c>
      <c r="BM195" s="472">
        <f t="shared" si="287"/>
        <v>94.436503299968152</v>
      </c>
      <c r="BN195" s="546">
        <f t="shared" si="288"/>
        <v>2.8049999999999999E-2</v>
      </c>
      <c r="BQ195" s="472">
        <f t="shared" si="289"/>
        <v>28.049999999999997</v>
      </c>
      <c r="BR195" s="546">
        <f t="shared" si="290"/>
        <v>2.1014354764828505E-2</v>
      </c>
      <c r="BS195" s="546">
        <f t="shared" si="291"/>
        <v>8.6657133050839219E-3</v>
      </c>
      <c r="BT195" s="546">
        <f t="shared" si="292"/>
        <v>1.3926862161630842E-2</v>
      </c>
      <c r="BU195" s="546"/>
      <c r="BV195" s="546">
        <f t="shared" si="293"/>
        <v>1.8595296752519599E-2</v>
      </c>
      <c r="BW195" s="472">
        <f t="shared" si="294"/>
        <v>62.202226984062875</v>
      </c>
      <c r="BX195" s="179">
        <f t="shared" si="295"/>
        <v>0.18468873028403104</v>
      </c>
      <c r="BY195" s="6">
        <f t="shared" si="296"/>
        <v>2.2439999999999998</v>
      </c>
      <c r="BZ195" s="179">
        <f t="shared" si="297"/>
        <v>0.9239553723039543</v>
      </c>
      <c r="CA195" s="6">
        <f t="shared" si="298"/>
        <v>92.395537230395433</v>
      </c>
      <c r="CD195" s="581">
        <f t="shared" si="327"/>
        <v>-50</v>
      </c>
      <c r="CE195">
        <f t="shared" si="328"/>
        <v>-50</v>
      </c>
    </row>
    <row r="196" spans="5:83" x14ac:dyDescent="0.2">
      <c r="E196" s="176">
        <v>86</v>
      </c>
      <c r="F196" s="223">
        <f t="shared" si="329"/>
        <v>9.4600000000000004E-2</v>
      </c>
      <c r="G196" s="223"/>
      <c r="H196" s="223">
        <f t="shared" si="299"/>
        <v>2.2704</v>
      </c>
      <c r="I196" s="559">
        <f t="shared" si="300"/>
        <v>10</v>
      </c>
      <c r="J196" s="454">
        <f t="shared" si="301"/>
        <v>24.25</v>
      </c>
      <c r="K196" s="454">
        <f t="shared" si="302"/>
        <v>34.25</v>
      </c>
      <c r="L196" s="454"/>
      <c r="M196" s="223">
        <f t="shared" si="303"/>
        <v>0.70802919708029199</v>
      </c>
      <c r="N196" s="178">
        <f t="shared" si="304"/>
        <v>4.8765510948905106</v>
      </c>
      <c r="O196" s="178">
        <f t="shared" si="244"/>
        <v>2.2704</v>
      </c>
      <c r="P196" s="223">
        <f t="shared" si="305"/>
        <v>0.20318962895377127</v>
      </c>
      <c r="Q196" s="223">
        <f t="shared" si="306"/>
        <v>24</v>
      </c>
      <c r="R196" s="223"/>
      <c r="S196" s="178">
        <f t="shared" si="307"/>
        <v>62.846175963759194</v>
      </c>
      <c r="T196" s="554">
        <f t="shared" si="308"/>
        <v>24</v>
      </c>
      <c r="U196" s="223">
        <f t="shared" si="309"/>
        <v>0.67508366793271835</v>
      </c>
      <c r="V196" s="223">
        <f t="shared" si="310"/>
        <v>3.1728932392837761</v>
      </c>
      <c r="W196" s="223">
        <f t="shared" si="311"/>
        <v>1.3084095832098046</v>
      </c>
      <c r="X196" s="203">
        <f t="shared" si="312"/>
        <v>350</v>
      </c>
      <c r="Y196" s="454">
        <f t="shared" si="279"/>
        <v>223.14939195373526</v>
      </c>
      <c r="AA196" s="223">
        <f t="shared" si="313"/>
        <v>0.43041288576309544</v>
      </c>
      <c r="AB196" s="179">
        <f t="shared" si="314"/>
        <v>0.83420229405630864</v>
      </c>
      <c r="AC196" s="179">
        <f t="shared" si="315"/>
        <v>6.2833997921619769E-2</v>
      </c>
      <c r="AD196" s="179"/>
      <c r="AE196" s="179">
        <f t="shared" si="316"/>
        <v>0.56206185567010303</v>
      </c>
      <c r="AF196" s="563">
        <f t="shared" si="317"/>
        <v>1160.7508791459004</v>
      </c>
      <c r="AG196" s="546">
        <f t="shared" si="318"/>
        <v>2.8524639175257726E-2</v>
      </c>
      <c r="AI196" s="179">
        <f t="shared" si="319"/>
        <v>0.52812106008314375</v>
      </c>
      <c r="AJ196" s="179">
        <f t="shared" si="320"/>
        <v>0.67508366793271835</v>
      </c>
      <c r="AK196" s="179">
        <f t="shared" si="321"/>
        <v>1.4852471614316431</v>
      </c>
      <c r="AM196" s="563">
        <f t="shared" si="322"/>
        <v>94.600000000000009</v>
      </c>
      <c r="AN196" s="472">
        <f t="shared" si="323"/>
        <v>223.14939195373526</v>
      </c>
      <c r="AP196">
        <f t="shared" si="324"/>
        <v>94.600000000000009</v>
      </c>
      <c r="AQ196">
        <f t="shared" si="325"/>
        <v>223.14939195373526</v>
      </c>
      <c r="AS196" s="6">
        <f t="shared" si="245"/>
        <v>4.4813028224935794</v>
      </c>
      <c r="AT196" s="6">
        <f t="shared" si="326"/>
        <v>3.1728932392837761</v>
      </c>
      <c r="AU196" s="6">
        <f t="shared" si="280"/>
        <v>1.3084095832098033</v>
      </c>
      <c r="AV196" s="6"/>
      <c r="AW196" s="179">
        <f t="shared" si="281"/>
        <v>0.70802919708029222</v>
      </c>
      <c r="AX196" s="179">
        <f t="shared" si="241"/>
        <v>2.3898947368421055</v>
      </c>
      <c r="AY196" s="179">
        <f t="shared" si="242"/>
        <v>9.8552360282148574E-2</v>
      </c>
      <c r="AZ196" s="179">
        <f t="shared" si="246"/>
        <v>24.250000000000025</v>
      </c>
      <c r="BD196" s="179">
        <f t="shared" si="247"/>
        <v>0.32796126853847313</v>
      </c>
      <c r="BE196" s="179">
        <f t="shared" si="243"/>
        <v>0.21060403424863386</v>
      </c>
      <c r="BG196" s="546">
        <f t="shared" si="282"/>
        <v>3.7645507781477565E-2</v>
      </c>
      <c r="BH196" s="546">
        <f t="shared" si="283"/>
        <v>3.8696808510638302E-2</v>
      </c>
      <c r="BI196" s="546">
        <f t="shared" si="284"/>
        <v>2.7893673994216907E-3</v>
      </c>
      <c r="BJ196" s="546">
        <f t="shared" si="285"/>
        <v>1.3088409179936429E-2</v>
      </c>
      <c r="BK196">
        <f t="shared" si="286"/>
        <v>2.8999999999999998E-3</v>
      </c>
      <c r="BM196" s="472">
        <f t="shared" si="287"/>
        <v>95.120092871473986</v>
      </c>
      <c r="BN196" s="546">
        <f t="shared" si="288"/>
        <v>2.8379999999999999E-2</v>
      </c>
      <c r="BQ196" s="472">
        <f t="shared" si="289"/>
        <v>28.38</v>
      </c>
      <c r="BR196" s="546">
        <f t="shared" si="290"/>
        <v>2.1511718732272898E-2</v>
      </c>
      <c r="BS196" s="546">
        <f t="shared" si="291"/>
        <v>8.8708118483599493E-3</v>
      </c>
      <c r="BT196" s="546">
        <f t="shared" si="292"/>
        <v>1.3926862161630842E-2</v>
      </c>
      <c r="BU196" s="546"/>
      <c r="BV196" s="546">
        <f t="shared" si="293"/>
        <v>1.8814064949608068E-2</v>
      </c>
      <c r="BW196" s="472">
        <f t="shared" si="294"/>
        <v>63.123457691871749</v>
      </c>
      <c r="BX196" s="179">
        <f t="shared" si="295"/>
        <v>0.18662355056334573</v>
      </c>
      <c r="BY196" s="6">
        <f t="shared" si="296"/>
        <v>2.2704</v>
      </c>
      <c r="BZ196" s="179">
        <f t="shared" si="297"/>
        <v>0.92404486700155697</v>
      </c>
      <c r="CA196" s="6">
        <f t="shared" si="298"/>
        <v>92.404486700155701</v>
      </c>
      <c r="CD196" s="581">
        <f t="shared" si="327"/>
        <v>-50</v>
      </c>
      <c r="CE196">
        <f t="shared" si="328"/>
        <v>-50</v>
      </c>
    </row>
    <row r="197" spans="5:83" x14ac:dyDescent="0.2">
      <c r="E197" s="176">
        <v>87</v>
      </c>
      <c r="F197" s="223">
        <f t="shared" si="329"/>
        <v>9.5699999999999993E-2</v>
      </c>
      <c r="G197" s="223"/>
      <c r="H197" s="223">
        <f t="shared" si="299"/>
        <v>2.2967999999999997</v>
      </c>
      <c r="I197" s="559">
        <f t="shared" si="300"/>
        <v>10</v>
      </c>
      <c r="J197" s="454">
        <f t="shared" si="301"/>
        <v>24.25</v>
      </c>
      <c r="K197" s="454">
        <f t="shared" si="302"/>
        <v>34.25</v>
      </c>
      <c r="L197" s="454"/>
      <c r="M197" s="223">
        <f t="shared" si="303"/>
        <v>0.70802919708029199</v>
      </c>
      <c r="N197" s="178">
        <f t="shared" si="304"/>
        <v>4.8765510948905106</v>
      </c>
      <c r="O197" s="178">
        <f t="shared" si="244"/>
        <v>2.2967999999999997</v>
      </c>
      <c r="P197" s="223">
        <f t="shared" si="305"/>
        <v>0.20318962895377127</v>
      </c>
      <c r="Q197" s="223">
        <f t="shared" si="306"/>
        <v>24</v>
      </c>
      <c r="R197" s="223"/>
      <c r="S197" s="178">
        <f t="shared" si="307"/>
        <v>62.009851257725245</v>
      </c>
      <c r="T197" s="554">
        <f t="shared" si="308"/>
        <v>24</v>
      </c>
      <c r="U197" s="223">
        <f t="shared" si="309"/>
        <v>0.68293347802495918</v>
      </c>
      <c r="V197" s="223">
        <f t="shared" si="310"/>
        <v>3.2097873467173086</v>
      </c>
      <c r="W197" s="223">
        <f t="shared" si="311"/>
        <v>1.3236236481308488</v>
      </c>
      <c r="X197" s="203">
        <f t="shared" si="312"/>
        <v>350</v>
      </c>
      <c r="Y197" s="454">
        <f t="shared" si="279"/>
        <v>220.58445641403711</v>
      </c>
      <c r="AA197" s="223">
        <f t="shared" si="313"/>
        <v>0.43041288576309544</v>
      </c>
      <c r="AB197" s="179">
        <f t="shared" si="314"/>
        <v>0.83420229405630864</v>
      </c>
      <c r="AC197" s="179">
        <f t="shared" si="315"/>
        <v>6.2833997921619769E-2</v>
      </c>
      <c r="AD197" s="179"/>
      <c r="AE197" s="179">
        <f t="shared" si="316"/>
        <v>0.56206185567010303</v>
      </c>
      <c r="AF197" s="563">
        <f t="shared" si="317"/>
        <v>1174.2479823917831</v>
      </c>
      <c r="AG197" s="546">
        <f t="shared" si="318"/>
        <v>2.8524639175257726E-2</v>
      </c>
      <c r="AI197" s="179">
        <f t="shared" si="319"/>
        <v>0.53118265709411905</v>
      </c>
      <c r="AJ197" s="179">
        <f t="shared" si="320"/>
        <v>0.68293347802495918</v>
      </c>
      <c r="AK197" s="179">
        <f t="shared" si="321"/>
        <v>1.4910618355740439</v>
      </c>
      <c r="AM197" s="563">
        <f t="shared" si="322"/>
        <v>95.699999999999989</v>
      </c>
      <c r="AN197" s="472">
        <f t="shared" si="323"/>
        <v>220.58445641403711</v>
      </c>
      <c r="AP197">
        <f t="shared" si="324"/>
        <v>95.699999999999989</v>
      </c>
      <c r="AQ197">
        <f t="shared" si="325"/>
        <v>220.58445641403711</v>
      </c>
      <c r="AS197" s="6">
        <f t="shared" si="245"/>
        <v>4.5334109948481576</v>
      </c>
      <c r="AT197" s="6">
        <f t="shared" si="326"/>
        <v>3.2097873467173086</v>
      </c>
      <c r="AU197" s="6">
        <f t="shared" si="280"/>
        <v>1.323623648130849</v>
      </c>
      <c r="AV197" s="6"/>
      <c r="AW197" s="179">
        <f t="shared" si="281"/>
        <v>0.70802919708029199</v>
      </c>
      <c r="AX197" s="179">
        <f t="shared" ref="AX197:AX210" si="330">0.5*L*AJ197^2*AN197*1000</f>
        <v>2.417684210526315</v>
      </c>
      <c r="AY197" s="179">
        <f t="shared" ref="AY197:AY210" si="331">AJ197*Nps/2*(1-AW197)</f>
        <v>9.9698317959848043E-2</v>
      </c>
      <c r="AZ197" s="179">
        <f t="shared" si="246"/>
        <v>24.25</v>
      </c>
      <c r="BD197" s="179">
        <f t="shared" si="247"/>
        <v>0.33177477166101343</v>
      </c>
      <c r="BE197" s="179">
        <f t="shared" ref="BE197:BE210" si="332">AJ197*Nps*SQRT((1-AW197)/3)</f>
        <v>0.21305291836780407</v>
      </c>
      <c r="BG197" s="546">
        <f t="shared" si="282"/>
        <v>3.8526074688751161E-2</v>
      </c>
      <c r="BH197" s="546">
        <f t="shared" si="283"/>
        <v>3.8696808510638288E-2</v>
      </c>
      <c r="BI197" s="546">
        <f t="shared" si="284"/>
        <v>2.7573057051754639E-3</v>
      </c>
      <c r="BJ197" s="546">
        <f t="shared" si="285"/>
        <v>1.293796769510957E-2</v>
      </c>
      <c r="BK197">
        <f t="shared" si="286"/>
        <v>2.8999999999999998E-3</v>
      </c>
      <c r="BM197" s="472">
        <f t="shared" si="287"/>
        <v>95.818156599674481</v>
      </c>
      <c r="BN197" s="546">
        <f t="shared" si="288"/>
        <v>2.8709999999999996E-2</v>
      </c>
      <c r="BQ197" s="472">
        <f t="shared" si="289"/>
        <v>28.709999999999997</v>
      </c>
      <c r="BR197" s="546">
        <f t="shared" si="290"/>
        <v>2.2014899822143524E-2</v>
      </c>
      <c r="BS197" s="546">
        <f t="shared" si="291"/>
        <v>9.0783092050076373E-3</v>
      </c>
      <c r="BT197" s="546">
        <f t="shared" si="292"/>
        <v>1.3926862161630825E-2</v>
      </c>
      <c r="BU197" s="546"/>
      <c r="BV197" s="546">
        <f t="shared" si="293"/>
        <v>1.9032833146696522E-2</v>
      </c>
      <c r="BW197" s="472">
        <f t="shared" si="294"/>
        <v>64.052904335478502</v>
      </c>
      <c r="BX197" s="179">
        <f t="shared" si="295"/>
        <v>0.18858106093515298</v>
      </c>
      <c r="BY197" s="6">
        <f t="shared" si="296"/>
        <v>2.2967999999999997</v>
      </c>
      <c r="BZ197" s="179">
        <f t="shared" si="297"/>
        <v>0.92412388430118753</v>
      </c>
      <c r="CA197" s="6">
        <f t="shared" si="298"/>
        <v>92.412388430118753</v>
      </c>
      <c r="CD197" s="581">
        <f t="shared" si="327"/>
        <v>-50</v>
      </c>
      <c r="CE197">
        <f t="shared" si="328"/>
        <v>-50</v>
      </c>
    </row>
    <row r="198" spans="5:83" x14ac:dyDescent="0.2">
      <c r="E198" s="176">
        <v>88</v>
      </c>
      <c r="F198" s="223">
        <f t="shared" si="329"/>
        <v>9.6799999999999997E-2</v>
      </c>
      <c r="G198" s="223"/>
      <c r="H198" s="223">
        <f t="shared" si="299"/>
        <v>2.3231999999999999</v>
      </c>
      <c r="I198" s="559">
        <f t="shared" si="300"/>
        <v>10</v>
      </c>
      <c r="J198" s="454">
        <f t="shared" si="301"/>
        <v>24.25</v>
      </c>
      <c r="K198" s="454">
        <f t="shared" si="302"/>
        <v>34.25</v>
      </c>
      <c r="L198" s="454"/>
      <c r="M198" s="223">
        <f t="shared" si="303"/>
        <v>0.70802919708029199</v>
      </c>
      <c r="N198" s="178">
        <f t="shared" si="304"/>
        <v>4.8765510948905106</v>
      </c>
      <c r="O198" s="178">
        <f t="shared" ref="O198:O261" si="333">T198*F198</f>
        <v>2.3231999999999999</v>
      </c>
      <c r="P198" s="223">
        <f t="shared" si="305"/>
        <v>0.20318962895377127</v>
      </c>
      <c r="Q198" s="223">
        <f t="shared" si="306"/>
        <v>24</v>
      </c>
      <c r="R198" s="223"/>
      <c r="S198" s="178">
        <f t="shared" si="307"/>
        <v>61.192547920947504</v>
      </c>
      <c r="T198" s="554">
        <f t="shared" si="308"/>
        <v>24</v>
      </c>
      <c r="U198" s="223">
        <f t="shared" si="309"/>
        <v>0.69078328811720013</v>
      </c>
      <c r="V198" s="223">
        <f t="shared" si="310"/>
        <v>3.2466814541508406</v>
      </c>
      <c r="W198" s="223">
        <f t="shared" si="311"/>
        <v>1.3388377130518929</v>
      </c>
      <c r="X198" s="203">
        <f t="shared" si="312"/>
        <v>350</v>
      </c>
      <c r="Y198" s="454">
        <f t="shared" si="279"/>
        <v>218.07781486387765</v>
      </c>
      <c r="AA198" s="223">
        <f t="shared" si="313"/>
        <v>0.43041288576309544</v>
      </c>
      <c r="AB198" s="179">
        <f t="shared" si="314"/>
        <v>0.83420229405630864</v>
      </c>
      <c r="AC198" s="179">
        <f t="shared" si="315"/>
        <v>6.2833997921619769E-2</v>
      </c>
      <c r="AD198" s="179"/>
      <c r="AE198" s="179">
        <f t="shared" si="316"/>
        <v>0.56206185567010303</v>
      </c>
      <c r="AF198" s="563">
        <f t="shared" si="317"/>
        <v>1187.7450856376656</v>
      </c>
      <c r="AG198" s="546">
        <f t="shared" si="318"/>
        <v>2.8524639175257726E-2</v>
      </c>
      <c r="AI198" s="179">
        <f t="shared" si="319"/>
        <v>0.53422670870314348</v>
      </c>
      <c r="AJ198" s="179">
        <f t="shared" si="320"/>
        <v>0.69078328811720013</v>
      </c>
      <c r="AK198" s="179">
        <f t="shared" si="321"/>
        <v>1.4968765097164445</v>
      </c>
      <c r="AM198" s="563">
        <f t="shared" si="322"/>
        <v>96.8</v>
      </c>
      <c r="AN198" s="472">
        <f t="shared" si="323"/>
        <v>218.07781486387765</v>
      </c>
      <c r="AP198">
        <f t="shared" si="324"/>
        <v>96.8</v>
      </c>
      <c r="AQ198">
        <f t="shared" si="325"/>
        <v>218.07781486387765</v>
      </c>
      <c r="AS198" s="6">
        <f t="shared" ref="AS198:AS262" si="334">1/AN198*1000</f>
        <v>4.5855191672027331</v>
      </c>
      <c r="AT198" s="6">
        <f t="shared" si="326"/>
        <v>3.2466814541508406</v>
      </c>
      <c r="AU198" s="6">
        <f t="shared" si="280"/>
        <v>1.3388377130518925</v>
      </c>
      <c r="AV198" s="6"/>
      <c r="AW198" s="179">
        <f t="shared" si="281"/>
        <v>0.70802919708029211</v>
      </c>
      <c r="AX198" s="179">
        <f t="shared" si="330"/>
        <v>2.4454736842105262</v>
      </c>
      <c r="AY198" s="179">
        <f t="shared" si="331"/>
        <v>0.10084427563754741</v>
      </c>
      <c r="AZ198" s="179">
        <f t="shared" ref="AZ198:AZ210" si="335">AX198/AY198</f>
        <v>24.250000000000014</v>
      </c>
      <c r="BD198" s="179">
        <f t="shared" ref="BD198:BD210" si="336">AJ198*SQRT(AW198/3)</f>
        <v>0.33558827478355385</v>
      </c>
      <c r="BE198" s="179">
        <f t="shared" si="332"/>
        <v>0.2155018024869742</v>
      </c>
      <c r="BG198" s="546">
        <f t="shared" si="282"/>
        <v>3.9416821560270716E-2</v>
      </c>
      <c r="BH198" s="546">
        <f t="shared" si="283"/>
        <v>3.8696808510638295E-2</v>
      </c>
      <c r="BI198" s="546">
        <f t="shared" si="284"/>
        <v>2.7259726857984706E-3</v>
      </c>
      <c r="BJ198" s="546">
        <f t="shared" si="285"/>
        <v>1.2790945334937874E-2</v>
      </c>
      <c r="BK198">
        <f t="shared" si="286"/>
        <v>2.8999999999999998E-3</v>
      </c>
      <c r="BM198" s="472">
        <f t="shared" si="287"/>
        <v>96.530548091645372</v>
      </c>
      <c r="BN198" s="546">
        <f t="shared" si="288"/>
        <v>2.9039999999999996E-2</v>
      </c>
      <c r="BQ198" s="472">
        <f t="shared" si="289"/>
        <v>29.039999999999996</v>
      </c>
      <c r="BR198" s="546">
        <f t="shared" si="290"/>
        <v>2.2523898034440409E-2</v>
      </c>
      <c r="BS198" s="546">
        <f t="shared" si="291"/>
        <v>9.2882053750269686E-3</v>
      </c>
      <c r="BT198" s="546">
        <f t="shared" si="292"/>
        <v>1.3926862161630825E-2</v>
      </c>
      <c r="BU198" s="546"/>
      <c r="BV198" s="546">
        <f t="shared" si="293"/>
        <v>1.9251601343784997E-2</v>
      </c>
      <c r="BW198" s="472">
        <f t="shared" si="294"/>
        <v>64.990566914883203</v>
      </c>
      <c r="BX198" s="179">
        <f t="shared" si="295"/>
        <v>0.19056111500652859</v>
      </c>
      <c r="BY198" s="6">
        <f t="shared" si="296"/>
        <v>2.3231999999999999</v>
      </c>
      <c r="BZ198" s="179">
        <f t="shared" si="297"/>
        <v>0.9241928304686845</v>
      </c>
      <c r="CA198" s="6">
        <f t="shared" si="298"/>
        <v>92.419283046868443</v>
      </c>
      <c r="CD198" s="581">
        <f t="shared" si="327"/>
        <v>-50</v>
      </c>
      <c r="CE198">
        <f t="shared" si="328"/>
        <v>-50</v>
      </c>
    </row>
    <row r="199" spans="5:83" x14ac:dyDescent="0.2">
      <c r="E199" s="176">
        <v>89</v>
      </c>
      <c r="F199" s="223">
        <f t="shared" si="329"/>
        <v>9.7900000000000001E-2</v>
      </c>
      <c r="G199" s="223"/>
      <c r="H199" s="223">
        <f t="shared" si="299"/>
        <v>2.3496000000000001</v>
      </c>
      <c r="I199" s="559">
        <f t="shared" si="300"/>
        <v>10</v>
      </c>
      <c r="J199" s="454">
        <f t="shared" si="301"/>
        <v>24.25</v>
      </c>
      <c r="K199" s="454">
        <f t="shared" si="302"/>
        <v>34.25</v>
      </c>
      <c r="L199" s="454"/>
      <c r="M199" s="223">
        <f t="shared" si="303"/>
        <v>0.70802919708029199</v>
      </c>
      <c r="N199" s="178">
        <f t="shared" si="304"/>
        <v>4.8765510948905106</v>
      </c>
      <c r="O199" s="178">
        <f t="shared" si="333"/>
        <v>2.3496000000000001</v>
      </c>
      <c r="P199" s="223">
        <f t="shared" si="305"/>
        <v>0.20318962895377127</v>
      </c>
      <c r="Q199" s="223">
        <f t="shared" si="306"/>
        <v>24</v>
      </c>
      <c r="R199" s="223"/>
      <c r="S199" s="178">
        <f t="shared" si="307"/>
        <v>60.393624857248689</v>
      </c>
      <c r="T199" s="554">
        <f t="shared" si="308"/>
        <v>24</v>
      </c>
      <c r="U199" s="223">
        <f t="shared" si="309"/>
        <v>0.69863309820944119</v>
      </c>
      <c r="V199" s="223">
        <f t="shared" si="310"/>
        <v>3.2835755615843731</v>
      </c>
      <c r="W199" s="223">
        <f t="shared" si="311"/>
        <v>1.3540517779729373</v>
      </c>
      <c r="X199" s="203">
        <f t="shared" si="312"/>
        <v>350</v>
      </c>
      <c r="Y199" s="454">
        <f t="shared" si="279"/>
        <v>215.62750233731717</v>
      </c>
      <c r="AA199" s="223">
        <f t="shared" si="313"/>
        <v>0.43041288576309544</v>
      </c>
      <c r="AB199" s="179">
        <f t="shared" si="314"/>
        <v>0.83420229405630864</v>
      </c>
      <c r="AC199" s="179">
        <f t="shared" si="315"/>
        <v>6.2833997921619769E-2</v>
      </c>
      <c r="AD199" s="179"/>
      <c r="AE199" s="179">
        <f t="shared" si="316"/>
        <v>0.56206185567010303</v>
      </c>
      <c r="AF199" s="563">
        <f t="shared" si="317"/>
        <v>1201.2421888835481</v>
      </c>
      <c r="AG199" s="546">
        <f t="shared" si="318"/>
        <v>2.8524639175257726E-2</v>
      </c>
      <c r="AI199" s="179">
        <f t="shared" si="319"/>
        <v>0.53725351314441705</v>
      </c>
      <c r="AJ199" s="179">
        <f t="shared" si="320"/>
        <v>0.69863309820944119</v>
      </c>
      <c r="AK199" s="179">
        <f t="shared" si="321"/>
        <v>1.5026911838588453</v>
      </c>
      <c r="AM199" s="563">
        <f t="shared" si="322"/>
        <v>97.9</v>
      </c>
      <c r="AN199" s="472">
        <f t="shared" si="323"/>
        <v>215.62750233731717</v>
      </c>
      <c r="AP199">
        <f t="shared" si="324"/>
        <v>97.9</v>
      </c>
      <c r="AQ199">
        <f t="shared" si="325"/>
        <v>215.62750233731717</v>
      </c>
      <c r="AS199" s="6">
        <f t="shared" si="334"/>
        <v>4.6376273395573104</v>
      </c>
      <c r="AT199" s="6">
        <f t="shared" si="326"/>
        <v>3.2835755615843731</v>
      </c>
      <c r="AU199" s="6">
        <f t="shared" si="280"/>
        <v>1.3540517779729373</v>
      </c>
      <c r="AV199" s="6"/>
      <c r="AW199" s="179">
        <f t="shared" si="281"/>
        <v>0.70802919708029199</v>
      </c>
      <c r="AX199" s="179">
        <f t="shared" si="330"/>
        <v>2.4732631578947371</v>
      </c>
      <c r="AY199" s="179">
        <f t="shared" si="331"/>
        <v>0.10199023331524688</v>
      </c>
      <c r="AZ199" s="179">
        <f t="shared" si="335"/>
        <v>24.25</v>
      </c>
      <c r="BD199" s="179">
        <f t="shared" si="336"/>
        <v>0.33940177790609433</v>
      </c>
      <c r="BE199" s="179">
        <f t="shared" si="332"/>
        <v>0.21795068660614444</v>
      </c>
      <c r="BG199" s="546">
        <f t="shared" si="282"/>
        <v>4.0317748396036218E-2</v>
      </c>
      <c r="BH199" s="546">
        <f t="shared" si="283"/>
        <v>3.8696808510638302E-2</v>
      </c>
      <c r="BI199" s="546">
        <f t="shared" si="284"/>
        <v>2.6953437792164641E-3</v>
      </c>
      <c r="BJ199" s="546">
        <f t="shared" si="285"/>
        <v>1.2647226848028456E-2</v>
      </c>
      <c r="BK199">
        <f t="shared" si="286"/>
        <v>2.8999999999999998E-3</v>
      </c>
      <c r="BM199" s="472">
        <f t="shared" si="287"/>
        <v>97.25712753391943</v>
      </c>
      <c r="BN199" s="546">
        <f t="shared" si="288"/>
        <v>2.937E-2</v>
      </c>
      <c r="BQ199" s="472">
        <f t="shared" si="289"/>
        <v>29.37</v>
      </c>
      <c r="BR199" s="546">
        <f t="shared" si="290"/>
        <v>2.3038713369163556E-2</v>
      </c>
      <c r="BS199" s="546">
        <f t="shared" si="291"/>
        <v>9.5005003584179588E-3</v>
      </c>
      <c r="BT199" s="546">
        <f t="shared" si="292"/>
        <v>1.3926862161630839E-2</v>
      </c>
      <c r="BU199" s="546"/>
      <c r="BV199" s="546">
        <f t="shared" si="293"/>
        <v>1.9470369540873465E-2</v>
      </c>
      <c r="BW199" s="472">
        <f t="shared" si="294"/>
        <v>65.936445430085811</v>
      </c>
      <c r="BX199" s="179">
        <f t="shared" si="295"/>
        <v>0.19256357296400525</v>
      </c>
      <c r="BY199" s="6">
        <f t="shared" si="296"/>
        <v>2.3496000000000001</v>
      </c>
      <c r="BZ199" s="179">
        <f t="shared" si="297"/>
        <v>0.92425209179616707</v>
      </c>
      <c r="CA199" s="6">
        <f t="shared" si="298"/>
        <v>92.425209179616701</v>
      </c>
      <c r="CD199" s="581">
        <f t="shared" si="327"/>
        <v>-50</v>
      </c>
      <c r="CE199">
        <f t="shared" si="328"/>
        <v>-50</v>
      </c>
    </row>
    <row r="200" spans="5:83" x14ac:dyDescent="0.2">
      <c r="E200" s="176">
        <v>90</v>
      </c>
      <c r="F200" s="223">
        <f t="shared" si="329"/>
        <v>9.9000000000000005E-2</v>
      </c>
      <c r="G200" s="223"/>
      <c r="H200" s="223">
        <f t="shared" si="299"/>
        <v>2.3760000000000003</v>
      </c>
      <c r="I200" s="559">
        <f t="shared" si="300"/>
        <v>10</v>
      </c>
      <c r="J200" s="454">
        <f t="shared" si="301"/>
        <v>24.25</v>
      </c>
      <c r="K200" s="454">
        <f t="shared" si="302"/>
        <v>34.25</v>
      </c>
      <c r="L200" s="454"/>
      <c r="M200" s="223">
        <f t="shared" si="303"/>
        <v>0.70802919708029199</v>
      </c>
      <c r="N200" s="178">
        <f t="shared" si="304"/>
        <v>4.8765510948905106</v>
      </c>
      <c r="O200" s="178">
        <f t="shared" si="333"/>
        <v>2.3760000000000003</v>
      </c>
      <c r="P200" s="223">
        <f t="shared" si="305"/>
        <v>0.20318962895377127</v>
      </c>
      <c r="Q200" s="223">
        <f t="shared" si="306"/>
        <v>24</v>
      </c>
      <c r="R200" s="223"/>
      <c r="S200" s="178">
        <f t="shared" si="307"/>
        <v>59.612469464112813</v>
      </c>
      <c r="T200" s="554">
        <f t="shared" si="308"/>
        <v>24</v>
      </c>
      <c r="U200" s="223">
        <f t="shared" si="309"/>
        <v>0.70648290830168214</v>
      </c>
      <c r="V200" s="223">
        <f t="shared" si="310"/>
        <v>3.3204696690179061</v>
      </c>
      <c r="W200" s="223">
        <f t="shared" si="311"/>
        <v>1.3692658428939819</v>
      </c>
      <c r="X200" s="203">
        <f t="shared" si="312"/>
        <v>350</v>
      </c>
      <c r="Y200" s="454">
        <f t="shared" si="279"/>
        <v>213.23164120023583</v>
      </c>
      <c r="AA200" s="223">
        <f t="shared" si="313"/>
        <v>0.43041288576309544</v>
      </c>
      <c r="AB200" s="179">
        <f t="shared" si="314"/>
        <v>0.83420229405630864</v>
      </c>
      <c r="AC200" s="179">
        <f t="shared" si="315"/>
        <v>6.2833997921619769E-2</v>
      </c>
      <c r="AD200" s="179"/>
      <c r="AE200" s="179">
        <f t="shared" si="316"/>
        <v>0.56206185567010303</v>
      </c>
      <c r="AF200" s="563">
        <f t="shared" si="317"/>
        <v>1214.7392921294309</v>
      </c>
      <c r="AG200" s="546">
        <f t="shared" si="318"/>
        <v>2.8524639175257726E-2</v>
      </c>
      <c r="AI200" s="179">
        <f t="shared" si="319"/>
        <v>0.54026336029777478</v>
      </c>
      <c r="AJ200" s="179">
        <f t="shared" si="320"/>
        <v>0.70648290830168214</v>
      </c>
      <c r="AK200" s="179">
        <f t="shared" si="321"/>
        <v>1.508505858001246</v>
      </c>
      <c r="AM200" s="563">
        <f t="shared" si="322"/>
        <v>99</v>
      </c>
      <c r="AN200" s="472">
        <f t="shared" si="323"/>
        <v>213.23164120023583</v>
      </c>
      <c r="AP200">
        <f t="shared" si="324"/>
        <v>99</v>
      </c>
      <c r="AQ200">
        <f t="shared" si="325"/>
        <v>213.23164120023583</v>
      </c>
      <c r="AS200" s="6">
        <f t="shared" si="334"/>
        <v>4.6897355119118886</v>
      </c>
      <c r="AT200" s="6">
        <f t="shared" si="326"/>
        <v>3.3204696690179061</v>
      </c>
      <c r="AU200" s="6">
        <f t="shared" si="280"/>
        <v>1.3692658428939826</v>
      </c>
      <c r="AV200" s="6"/>
      <c r="AW200" s="179">
        <f t="shared" si="281"/>
        <v>0.70802919708029188</v>
      </c>
      <c r="AX200" s="179">
        <f t="shared" si="330"/>
        <v>2.5010526315789474</v>
      </c>
      <c r="AY200" s="179">
        <f t="shared" si="331"/>
        <v>0.10313619099294632</v>
      </c>
      <c r="AZ200" s="179">
        <f t="shared" si="335"/>
        <v>24.249999999999989</v>
      </c>
      <c r="BD200" s="179">
        <f t="shared" si="336"/>
        <v>0.34321528102863469</v>
      </c>
      <c r="BE200" s="179">
        <f t="shared" si="332"/>
        <v>0.22039957072531466</v>
      </c>
      <c r="BG200" s="546">
        <f t="shared" si="282"/>
        <v>4.1228855196047638E-2</v>
      </c>
      <c r="BH200" s="546">
        <f t="shared" si="283"/>
        <v>3.8696808510638295E-2</v>
      </c>
      <c r="BI200" s="546">
        <f t="shared" si="284"/>
        <v>2.6653955150029475E-3</v>
      </c>
      <c r="BJ200" s="546">
        <f t="shared" si="285"/>
        <v>1.2506702105272582E-2</v>
      </c>
      <c r="BK200">
        <f t="shared" si="286"/>
        <v>2.8999999999999998E-3</v>
      </c>
      <c r="BM200" s="472">
        <f t="shared" si="287"/>
        <v>97.997761326961466</v>
      </c>
      <c r="BN200" s="546">
        <f t="shared" si="288"/>
        <v>2.9700000000000001E-2</v>
      </c>
      <c r="BQ200" s="472">
        <f t="shared" si="289"/>
        <v>29.7</v>
      </c>
      <c r="BR200" s="546">
        <f t="shared" si="290"/>
        <v>2.3559345826312941E-2</v>
      </c>
      <c r="BS200" s="546">
        <f t="shared" si="291"/>
        <v>9.7151941551805957E-3</v>
      </c>
      <c r="BT200" s="546">
        <f t="shared" si="292"/>
        <v>1.3926862161630821E-2</v>
      </c>
      <c r="BU200" s="546"/>
      <c r="BV200" s="546">
        <f t="shared" si="293"/>
        <v>1.968913773796193E-2</v>
      </c>
      <c r="BW200" s="472">
        <f t="shared" si="294"/>
        <v>66.890539881086283</v>
      </c>
      <c r="BX200" s="179">
        <f t="shared" si="295"/>
        <v>0.19458830120804776</v>
      </c>
      <c r="BY200" s="6">
        <f t="shared" si="296"/>
        <v>2.3760000000000003</v>
      </c>
      <c r="BZ200" s="179">
        <f t="shared" si="297"/>
        <v>0.92430203579600789</v>
      </c>
      <c r="CA200" s="6">
        <f t="shared" si="298"/>
        <v>92.430203579600786</v>
      </c>
      <c r="CD200" s="581">
        <f t="shared" si="327"/>
        <v>-50</v>
      </c>
      <c r="CE200">
        <f t="shared" si="328"/>
        <v>-50</v>
      </c>
    </row>
    <row r="201" spans="5:83" x14ac:dyDescent="0.2">
      <c r="E201" s="176">
        <v>91</v>
      </c>
      <c r="F201" s="223">
        <f t="shared" si="329"/>
        <v>0.10010000000000001</v>
      </c>
      <c r="G201" s="223"/>
      <c r="H201" s="223">
        <f t="shared" si="299"/>
        <v>2.4024000000000001</v>
      </c>
      <c r="I201" s="559">
        <f t="shared" si="300"/>
        <v>10</v>
      </c>
      <c r="J201" s="454">
        <f t="shared" si="301"/>
        <v>24.25</v>
      </c>
      <c r="K201" s="454">
        <f t="shared" si="302"/>
        <v>34.25</v>
      </c>
      <c r="L201" s="454"/>
      <c r="M201" s="223">
        <f t="shared" si="303"/>
        <v>0.70802919708029199</v>
      </c>
      <c r="N201" s="178">
        <f t="shared" si="304"/>
        <v>4.8765510948905106</v>
      </c>
      <c r="O201" s="178">
        <f t="shared" si="333"/>
        <v>2.4024000000000001</v>
      </c>
      <c r="P201" s="223">
        <f t="shared" si="305"/>
        <v>0.20318962895377127</v>
      </c>
      <c r="Q201" s="223">
        <f t="shared" si="306"/>
        <v>24</v>
      </c>
      <c r="R201" s="223"/>
      <c r="S201" s="178">
        <f t="shared" si="307"/>
        <v>58.848496067103468</v>
      </c>
      <c r="T201" s="554">
        <f t="shared" si="308"/>
        <v>24</v>
      </c>
      <c r="U201" s="223">
        <f t="shared" si="309"/>
        <v>0.71433271839392298</v>
      </c>
      <c r="V201" s="223">
        <f t="shared" si="310"/>
        <v>3.3573637764514372</v>
      </c>
      <c r="W201" s="223">
        <f t="shared" si="311"/>
        <v>1.3844799078150258</v>
      </c>
      <c r="X201" s="203">
        <f t="shared" si="312"/>
        <v>350</v>
      </c>
      <c r="Y201" s="454">
        <f t="shared" si="279"/>
        <v>210.88843635188164</v>
      </c>
      <c r="AA201" s="223">
        <f t="shared" si="313"/>
        <v>0.43041288576309544</v>
      </c>
      <c r="AB201" s="179">
        <f t="shared" si="314"/>
        <v>0.83420229405630864</v>
      </c>
      <c r="AC201" s="179">
        <f t="shared" si="315"/>
        <v>6.2833997921619769E-2</v>
      </c>
      <c r="AD201" s="179"/>
      <c r="AE201" s="179">
        <f t="shared" si="316"/>
        <v>0.56206185567010303</v>
      </c>
      <c r="AF201" s="563">
        <f t="shared" si="317"/>
        <v>1228.2363953753136</v>
      </c>
      <c r="AG201" s="546">
        <f t="shared" si="318"/>
        <v>2.8524639175257726E-2</v>
      </c>
      <c r="AI201" s="179">
        <f t="shared" si="319"/>
        <v>0.54325653201270219</v>
      </c>
      <c r="AJ201" s="179">
        <f t="shared" si="320"/>
        <v>0.71433271839392298</v>
      </c>
      <c r="AK201" s="179">
        <f t="shared" si="321"/>
        <v>1.5143205321436466</v>
      </c>
      <c r="AM201" s="563">
        <f t="shared" si="322"/>
        <v>100.10000000000001</v>
      </c>
      <c r="AN201" s="472">
        <f t="shared" si="323"/>
        <v>210.88843635188164</v>
      </c>
      <c r="AP201">
        <f t="shared" si="324"/>
        <v>100.10000000000001</v>
      </c>
      <c r="AQ201">
        <f t="shared" si="325"/>
        <v>210.88843635188164</v>
      </c>
      <c r="AS201" s="6">
        <f t="shared" si="334"/>
        <v>4.7418436842664633</v>
      </c>
      <c r="AT201" s="6">
        <f t="shared" si="326"/>
        <v>3.3573637764514372</v>
      </c>
      <c r="AU201" s="6">
        <f t="shared" si="280"/>
        <v>1.3844799078150261</v>
      </c>
      <c r="AV201" s="6"/>
      <c r="AW201" s="179">
        <f t="shared" si="281"/>
        <v>0.70802919708029188</v>
      </c>
      <c r="AX201" s="179">
        <f t="shared" si="330"/>
        <v>2.5288421052631578</v>
      </c>
      <c r="AY201" s="179">
        <f t="shared" si="331"/>
        <v>0.10428214867064572</v>
      </c>
      <c r="AZ201" s="179">
        <f t="shared" si="335"/>
        <v>24.249999999999989</v>
      </c>
      <c r="BD201" s="179">
        <f t="shared" si="336"/>
        <v>0.34702878415117505</v>
      </c>
      <c r="BE201" s="179">
        <f t="shared" si="332"/>
        <v>0.22284845484448482</v>
      </c>
      <c r="BG201" s="546">
        <f t="shared" si="282"/>
        <v>4.215014196030499E-2</v>
      </c>
      <c r="BH201" s="546">
        <f t="shared" si="283"/>
        <v>3.8696808510638295E-2</v>
      </c>
      <c r="BI201" s="546">
        <f t="shared" si="284"/>
        <v>2.6361054543985202E-3</v>
      </c>
      <c r="BJ201" s="546">
        <f t="shared" si="285"/>
        <v>1.2369265818401459E-2</v>
      </c>
      <c r="BK201">
        <f t="shared" si="286"/>
        <v>2.8999999999999998E-3</v>
      </c>
      <c r="BM201" s="472">
        <f t="shared" si="287"/>
        <v>98.752321743743266</v>
      </c>
      <c r="BN201" s="546">
        <f t="shared" si="288"/>
        <v>3.0030000000000001E-2</v>
      </c>
      <c r="BQ201" s="472">
        <f t="shared" si="289"/>
        <v>30.03</v>
      </c>
      <c r="BR201" s="546">
        <f t="shared" si="290"/>
        <v>2.4085795405888569E-2</v>
      </c>
      <c r="BS201" s="546">
        <f t="shared" si="291"/>
        <v>9.9322867653148794E-3</v>
      </c>
      <c r="BT201" s="546">
        <f t="shared" si="292"/>
        <v>1.3926862161630842E-2</v>
      </c>
      <c r="BU201" s="546"/>
      <c r="BV201" s="546">
        <f t="shared" si="293"/>
        <v>1.9907905935050395E-2</v>
      </c>
      <c r="BW201" s="472">
        <f t="shared" si="294"/>
        <v>67.852850267884676</v>
      </c>
      <c r="BX201" s="179">
        <f t="shared" si="295"/>
        <v>0.19663517201162795</v>
      </c>
      <c r="BY201" s="6">
        <f t="shared" si="296"/>
        <v>2.4024000000000001</v>
      </c>
      <c r="BZ201" s="179">
        <f t="shared" si="297"/>
        <v>0.92434301231120541</v>
      </c>
      <c r="CA201" s="6">
        <f t="shared" si="298"/>
        <v>92.434301231120543</v>
      </c>
      <c r="CD201" s="581">
        <f t="shared" si="327"/>
        <v>-50</v>
      </c>
      <c r="CE201">
        <f t="shared" si="328"/>
        <v>-50</v>
      </c>
    </row>
    <row r="202" spans="5:83" x14ac:dyDescent="0.2">
      <c r="E202" s="176">
        <v>92</v>
      </c>
      <c r="F202" s="223">
        <f t="shared" si="329"/>
        <v>0.1012</v>
      </c>
      <c r="G202" s="223"/>
      <c r="H202" s="223">
        <f t="shared" si="299"/>
        <v>2.4287999999999998</v>
      </c>
      <c r="I202" s="559">
        <f t="shared" si="300"/>
        <v>10</v>
      </c>
      <c r="J202" s="454">
        <f t="shared" si="301"/>
        <v>24.25</v>
      </c>
      <c r="K202" s="454">
        <f t="shared" si="302"/>
        <v>34.25</v>
      </c>
      <c r="L202" s="454"/>
      <c r="M202" s="223">
        <f t="shared" si="303"/>
        <v>0.70802919708029199</v>
      </c>
      <c r="N202" s="178">
        <f t="shared" si="304"/>
        <v>4.8765510948905106</v>
      </c>
      <c r="O202" s="178">
        <f t="shared" si="333"/>
        <v>2.4287999999999998</v>
      </c>
      <c r="P202" s="223">
        <f t="shared" si="305"/>
        <v>0.20318962895377127</v>
      </c>
      <c r="Q202" s="223">
        <f t="shared" si="306"/>
        <v>24</v>
      </c>
      <c r="R202" s="223"/>
      <c r="S202" s="178">
        <f t="shared" si="307"/>
        <v>58.101144456385285</v>
      </c>
      <c r="T202" s="554">
        <f t="shared" si="308"/>
        <v>24</v>
      </c>
      <c r="U202" s="223">
        <f t="shared" si="309"/>
        <v>0.72218252848616382</v>
      </c>
      <c r="V202" s="223">
        <f t="shared" si="310"/>
        <v>3.3942578838849693</v>
      </c>
      <c r="W202" s="223">
        <f t="shared" si="311"/>
        <v>1.39969397273607</v>
      </c>
      <c r="X202" s="203">
        <f t="shared" si="312"/>
        <v>350</v>
      </c>
      <c r="Y202" s="454">
        <f t="shared" si="279"/>
        <v>208.59617073936124</v>
      </c>
      <c r="AA202" s="223">
        <f t="shared" si="313"/>
        <v>0.43041288576309544</v>
      </c>
      <c r="AB202" s="179">
        <f t="shared" si="314"/>
        <v>0.83420229405630864</v>
      </c>
      <c r="AC202" s="179">
        <f t="shared" si="315"/>
        <v>6.2833997921619769E-2</v>
      </c>
      <c r="AD202" s="179"/>
      <c r="AE202" s="179">
        <f t="shared" si="316"/>
        <v>0.56206185567010303</v>
      </c>
      <c r="AF202" s="563">
        <f t="shared" si="317"/>
        <v>1241.7334986211958</v>
      </c>
      <c r="AG202" s="546">
        <f t="shared" si="318"/>
        <v>2.8524639175257726E-2</v>
      </c>
      <c r="AI202" s="179">
        <f t="shared" si="319"/>
        <v>0.54623330241636958</v>
      </c>
      <c r="AJ202" s="179">
        <f t="shared" si="320"/>
        <v>0.72218252848616382</v>
      </c>
      <c r="AK202" s="179">
        <f t="shared" si="321"/>
        <v>1.5201352062860471</v>
      </c>
      <c r="AM202" s="563">
        <f t="shared" si="322"/>
        <v>101.2</v>
      </c>
      <c r="AN202" s="472">
        <f t="shared" si="323"/>
        <v>208.59617073936124</v>
      </c>
      <c r="AP202">
        <f t="shared" si="324"/>
        <v>101.2</v>
      </c>
      <c r="AQ202">
        <f t="shared" si="325"/>
        <v>208.59617073936124</v>
      </c>
      <c r="AS202" s="6">
        <f t="shared" si="334"/>
        <v>4.793951856621038</v>
      </c>
      <c r="AT202" s="6">
        <f t="shared" si="326"/>
        <v>3.3942578838849693</v>
      </c>
      <c r="AU202" s="6">
        <f t="shared" si="280"/>
        <v>1.3996939727360687</v>
      </c>
      <c r="AV202" s="6"/>
      <c r="AW202" s="179">
        <f t="shared" si="281"/>
        <v>0.70802919708029211</v>
      </c>
      <c r="AX202" s="179">
        <f t="shared" si="330"/>
        <v>2.556631578947369</v>
      </c>
      <c r="AY202" s="179">
        <f t="shared" si="331"/>
        <v>0.10542810634834504</v>
      </c>
      <c r="AZ202" s="179">
        <f t="shared" si="335"/>
        <v>24.250000000000018</v>
      </c>
      <c r="BD202" s="179">
        <f t="shared" si="336"/>
        <v>0.35084228727371541</v>
      </c>
      <c r="BE202" s="179">
        <f t="shared" si="332"/>
        <v>0.22529733896365486</v>
      </c>
      <c r="BG202" s="546">
        <f t="shared" si="282"/>
        <v>4.3081608688808289E-2</v>
      </c>
      <c r="BH202" s="546">
        <f t="shared" si="283"/>
        <v>3.8696808510638309E-2</v>
      </c>
      <c r="BI202" s="546">
        <f t="shared" si="284"/>
        <v>2.6074521342420152E-3</v>
      </c>
      <c r="BJ202" s="546">
        <f t="shared" si="285"/>
        <v>1.2234817276897096E-2</v>
      </c>
      <c r="BK202">
        <f t="shared" si="286"/>
        <v>2.8999999999999998E-3</v>
      </c>
      <c r="BM202" s="472">
        <f t="shared" si="287"/>
        <v>99.520686610585699</v>
      </c>
      <c r="BN202" s="546">
        <f t="shared" si="288"/>
        <v>3.0359999999999998E-2</v>
      </c>
      <c r="BQ202" s="472">
        <f t="shared" si="289"/>
        <v>30.36</v>
      </c>
      <c r="BR202" s="546">
        <f t="shared" si="290"/>
        <v>2.4618062107890453E-2</v>
      </c>
      <c r="BS202" s="546">
        <f t="shared" si="291"/>
        <v>1.0151778188820799E-2</v>
      </c>
      <c r="BT202" s="546">
        <f t="shared" si="292"/>
        <v>1.392686216163086E-2</v>
      </c>
      <c r="BU202" s="546"/>
      <c r="BV202" s="546">
        <f t="shared" si="293"/>
        <v>2.0126674132138866E-2</v>
      </c>
      <c r="BW202" s="472">
        <f t="shared" si="294"/>
        <v>68.823376590480976</v>
      </c>
      <c r="BX202" s="179">
        <f t="shared" si="295"/>
        <v>0.19870406320106668</v>
      </c>
      <c r="BY202" s="6">
        <f t="shared" si="296"/>
        <v>2.4287999999999998</v>
      </c>
      <c r="BZ202" s="179">
        <f t="shared" si="297"/>
        <v>0.92437535454883857</v>
      </c>
      <c r="CA202" s="6">
        <f t="shared" si="298"/>
        <v>92.437535454883857</v>
      </c>
      <c r="CD202" s="581">
        <f t="shared" si="327"/>
        <v>-50</v>
      </c>
      <c r="CE202">
        <f t="shared" si="328"/>
        <v>-50</v>
      </c>
    </row>
    <row r="203" spans="5:83" x14ac:dyDescent="0.2">
      <c r="E203" s="176">
        <v>93</v>
      </c>
      <c r="F203" s="223">
        <f t="shared" si="329"/>
        <v>0.1023</v>
      </c>
      <c r="G203" s="223"/>
      <c r="H203" s="223">
        <f t="shared" si="299"/>
        <v>2.4552</v>
      </c>
      <c r="I203" s="559">
        <f t="shared" si="300"/>
        <v>10</v>
      </c>
      <c r="J203" s="454">
        <f t="shared" si="301"/>
        <v>24.25</v>
      </c>
      <c r="K203" s="454">
        <f t="shared" si="302"/>
        <v>34.25</v>
      </c>
      <c r="L203" s="454"/>
      <c r="M203" s="223">
        <f t="shared" si="303"/>
        <v>0.70802919708029199</v>
      </c>
      <c r="N203" s="178">
        <f t="shared" si="304"/>
        <v>4.8765510948905106</v>
      </c>
      <c r="O203" s="178">
        <f t="shared" si="333"/>
        <v>2.4552</v>
      </c>
      <c r="P203" s="223">
        <f t="shared" si="305"/>
        <v>0.20318962895377127</v>
      </c>
      <c r="Q203" s="223">
        <f t="shared" si="306"/>
        <v>24</v>
      </c>
      <c r="R203" s="223"/>
      <c r="S203" s="178">
        <f t="shared" si="307"/>
        <v>57.369878517663352</v>
      </c>
      <c r="T203" s="554">
        <f t="shared" si="308"/>
        <v>24</v>
      </c>
      <c r="U203" s="223">
        <f t="shared" si="309"/>
        <v>0.73003233857840477</v>
      </c>
      <c r="V203" s="223">
        <f t="shared" si="310"/>
        <v>3.4311519913185027</v>
      </c>
      <c r="W203" s="223">
        <f t="shared" si="311"/>
        <v>1.4149080376571144</v>
      </c>
      <c r="X203" s="203">
        <f t="shared" si="312"/>
        <v>350</v>
      </c>
      <c r="Y203" s="454">
        <f t="shared" si="279"/>
        <v>206.35320116151857</v>
      </c>
      <c r="AA203" s="223">
        <f t="shared" si="313"/>
        <v>0.43041288576309544</v>
      </c>
      <c r="AB203" s="179">
        <f t="shared" si="314"/>
        <v>0.83420229405630864</v>
      </c>
      <c r="AC203" s="179">
        <f t="shared" si="315"/>
        <v>6.2833997921619769E-2</v>
      </c>
      <c r="AD203" s="179"/>
      <c r="AE203" s="179">
        <f t="shared" si="316"/>
        <v>0.56206185567010303</v>
      </c>
      <c r="AF203" s="563">
        <f t="shared" si="317"/>
        <v>1255.2306018670786</v>
      </c>
      <c r="AG203" s="546">
        <f t="shared" si="318"/>
        <v>2.8524639175257726E-2</v>
      </c>
      <c r="AI203" s="179">
        <f t="shared" si="319"/>
        <v>0.54919393820663931</v>
      </c>
      <c r="AJ203" s="179">
        <f t="shared" si="320"/>
        <v>0.73003233857840477</v>
      </c>
      <c r="AK203" s="179">
        <f t="shared" si="321"/>
        <v>1.5259498804284479</v>
      </c>
      <c r="AM203" s="563">
        <f t="shared" si="322"/>
        <v>102.3</v>
      </c>
      <c r="AN203" s="472">
        <f t="shared" si="323"/>
        <v>206.35320116151857</v>
      </c>
      <c r="AP203">
        <f t="shared" si="324"/>
        <v>102.3</v>
      </c>
      <c r="AQ203">
        <f t="shared" si="325"/>
        <v>206.35320116151857</v>
      </c>
      <c r="AS203" s="6">
        <f t="shared" si="334"/>
        <v>4.8460600289756171</v>
      </c>
      <c r="AT203" s="6">
        <f t="shared" si="326"/>
        <v>3.4311519913185027</v>
      </c>
      <c r="AU203" s="6">
        <f t="shared" si="280"/>
        <v>1.4149080376571144</v>
      </c>
      <c r="AV203" s="6"/>
      <c r="AW203" s="179">
        <f t="shared" si="281"/>
        <v>0.70802919708029199</v>
      </c>
      <c r="AX203" s="179">
        <f t="shared" si="330"/>
        <v>2.5844210526315785</v>
      </c>
      <c r="AY203" s="179">
        <f t="shared" si="331"/>
        <v>0.10657406402604448</v>
      </c>
      <c r="AZ203" s="179">
        <f t="shared" si="335"/>
        <v>24.25</v>
      </c>
      <c r="BD203" s="179">
        <f t="shared" si="336"/>
        <v>0.35465579039625583</v>
      </c>
      <c r="BE203" s="179">
        <f t="shared" si="332"/>
        <v>0.22774622308282508</v>
      </c>
      <c r="BG203" s="546">
        <f t="shared" si="282"/>
        <v>4.4023255381557533E-2</v>
      </c>
      <c r="BH203" s="546">
        <f t="shared" si="283"/>
        <v>3.8696808510638288E-2</v>
      </c>
      <c r="BI203" s="546">
        <f t="shared" si="284"/>
        <v>2.5794150145189822E-3</v>
      </c>
      <c r="BJ203" s="546">
        <f t="shared" si="285"/>
        <v>1.2103260101876694E-2</v>
      </c>
      <c r="BK203">
        <f t="shared" si="286"/>
        <v>2.8999999999999998E-3</v>
      </c>
      <c r="BM203" s="472">
        <f t="shared" si="287"/>
        <v>100.3027390085915</v>
      </c>
      <c r="BN203" s="546">
        <f t="shared" si="288"/>
        <v>3.0689999999999999E-2</v>
      </c>
      <c r="BQ203" s="472">
        <f t="shared" si="289"/>
        <v>30.689999999999998</v>
      </c>
      <c r="BR203" s="546">
        <f t="shared" si="290"/>
        <v>2.5156145932318592E-2</v>
      </c>
      <c r="BS203" s="546">
        <f t="shared" si="291"/>
        <v>1.0373668425698385E-2</v>
      </c>
      <c r="BT203" s="546">
        <f t="shared" si="292"/>
        <v>1.392686216163083E-2</v>
      </c>
      <c r="BU203" s="546"/>
      <c r="BV203" s="546">
        <f t="shared" si="293"/>
        <v>2.0345442329227317E-2</v>
      </c>
      <c r="BW203" s="472">
        <f t="shared" si="294"/>
        <v>69.802118848875139</v>
      </c>
      <c r="BX203" s="179">
        <f t="shared" si="295"/>
        <v>0.20079485785746665</v>
      </c>
      <c r="BY203" s="6">
        <f t="shared" si="296"/>
        <v>2.4552</v>
      </c>
      <c r="BZ203" s="179">
        <f t="shared" si="297"/>
        <v>0.92439938004268452</v>
      </c>
      <c r="CA203" s="6">
        <f t="shared" si="298"/>
        <v>92.439938004268456</v>
      </c>
      <c r="CD203" s="581">
        <f t="shared" si="327"/>
        <v>-50</v>
      </c>
      <c r="CE203">
        <f t="shared" si="328"/>
        <v>-50</v>
      </c>
    </row>
    <row r="204" spans="5:83" x14ac:dyDescent="0.2">
      <c r="E204" s="176">
        <v>94</v>
      </c>
      <c r="F204" s="223">
        <f t="shared" si="329"/>
        <v>0.10339999999999999</v>
      </c>
      <c r="G204" s="223"/>
      <c r="H204" s="223">
        <f t="shared" si="299"/>
        <v>2.4815999999999998</v>
      </c>
      <c r="I204" s="559">
        <f t="shared" si="300"/>
        <v>10</v>
      </c>
      <c r="J204" s="454">
        <f t="shared" si="301"/>
        <v>24.25</v>
      </c>
      <c r="K204" s="454">
        <f t="shared" si="302"/>
        <v>34.25</v>
      </c>
      <c r="L204" s="454"/>
      <c r="M204" s="223">
        <f t="shared" si="303"/>
        <v>0.70802919708029199</v>
      </c>
      <c r="N204" s="178">
        <f t="shared" si="304"/>
        <v>4.8765510948905106</v>
      </c>
      <c r="O204" s="178">
        <f t="shared" si="333"/>
        <v>2.4815999999999998</v>
      </c>
      <c r="P204" s="223">
        <f t="shared" si="305"/>
        <v>0.20318962895377127</v>
      </c>
      <c r="Q204" s="223">
        <f t="shared" si="306"/>
        <v>24</v>
      </c>
      <c r="R204" s="223"/>
      <c r="S204" s="178">
        <f t="shared" si="307"/>
        <v>56.654184950509624</v>
      </c>
      <c r="T204" s="554">
        <f t="shared" si="308"/>
        <v>24</v>
      </c>
      <c r="U204" s="223">
        <f t="shared" si="309"/>
        <v>0.73788214867064561</v>
      </c>
      <c r="V204" s="223">
        <f t="shared" si="310"/>
        <v>3.4680460987520338</v>
      </c>
      <c r="W204" s="223">
        <f t="shared" si="311"/>
        <v>1.4301221025781585</v>
      </c>
      <c r="X204" s="203">
        <f t="shared" si="312"/>
        <v>350</v>
      </c>
      <c r="Y204" s="454">
        <f t="shared" si="279"/>
        <v>204.1579543406514</v>
      </c>
      <c r="AA204" s="223">
        <f t="shared" si="313"/>
        <v>0.43041288576309544</v>
      </c>
      <c r="AB204" s="179">
        <f t="shared" si="314"/>
        <v>0.83420229405630864</v>
      </c>
      <c r="AC204" s="179">
        <f t="shared" si="315"/>
        <v>6.2833997921619769E-2</v>
      </c>
      <c r="AD204" s="179"/>
      <c r="AE204" s="179">
        <f t="shared" si="316"/>
        <v>0.56206185567010303</v>
      </c>
      <c r="AF204" s="563">
        <f t="shared" si="317"/>
        <v>1268.7277051129608</v>
      </c>
      <c r="AG204" s="546">
        <f t="shared" si="318"/>
        <v>2.8524639175257726E-2</v>
      </c>
      <c r="AI204" s="179">
        <f t="shared" si="319"/>
        <v>0.55213869893093248</v>
      </c>
      <c r="AJ204" s="179">
        <f t="shared" si="320"/>
        <v>0.73788214867064561</v>
      </c>
      <c r="AK204" s="179">
        <f t="shared" si="321"/>
        <v>1.5317645545708487</v>
      </c>
      <c r="AM204" s="563">
        <f t="shared" si="322"/>
        <v>103.39999999999999</v>
      </c>
      <c r="AN204" s="472">
        <f t="shared" si="323"/>
        <v>204.1579543406514</v>
      </c>
      <c r="AP204">
        <f t="shared" si="324"/>
        <v>103.39999999999999</v>
      </c>
      <c r="AQ204">
        <f t="shared" si="325"/>
        <v>204.1579543406514</v>
      </c>
      <c r="AS204" s="6">
        <f t="shared" si="334"/>
        <v>4.8981682013301926</v>
      </c>
      <c r="AT204" s="6">
        <f t="shared" si="326"/>
        <v>3.4680460987520338</v>
      </c>
      <c r="AU204" s="6">
        <f t="shared" si="280"/>
        <v>1.4301221025781587</v>
      </c>
      <c r="AV204" s="6"/>
      <c r="AW204" s="179">
        <f t="shared" si="281"/>
        <v>0.70802919708029188</v>
      </c>
      <c r="AX204" s="179">
        <f t="shared" si="330"/>
        <v>2.6122105263157893</v>
      </c>
      <c r="AY204" s="179">
        <f t="shared" si="331"/>
        <v>0.10772002170374392</v>
      </c>
      <c r="AZ204" s="179">
        <f t="shared" si="335"/>
        <v>24.249999999999993</v>
      </c>
      <c r="BD204" s="179">
        <f t="shared" si="336"/>
        <v>0.35846929351879614</v>
      </c>
      <c r="BE204" s="179">
        <f t="shared" si="332"/>
        <v>0.23019510720199526</v>
      </c>
      <c r="BG204" s="546">
        <f t="shared" si="282"/>
        <v>4.4975082038552688E-2</v>
      </c>
      <c r="BH204" s="546">
        <f t="shared" si="283"/>
        <v>3.8696808510638295E-2</v>
      </c>
      <c r="BI204" s="546">
        <f t="shared" si="284"/>
        <v>2.5519744292581423E-3</v>
      </c>
      <c r="BJ204" s="546">
        <f t="shared" si="285"/>
        <v>1.197450201568652E-2</v>
      </c>
      <c r="BK204">
        <f t="shared" si="286"/>
        <v>2.8999999999999998E-3</v>
      </c>
      <c r="BM204" s="472">
        <f t="shared" si="287"/>
        <v>101.09836699413565</v>
      </c>
      <c r="BN204" s="546">
        <f t="shared" si="288"/>
        <v>3.1019999999999995E-2</v>
      </c>
      <c r="BQ204" s="472">
        <f t="shared" si="289"/>
        <v>31.019999999999996</v>
      </c>
      <c r="BR204" s="546">
        <f t="shared" si="290"/>
        <v>2.5700046879172968E-2</v>
      </c>
      <c r="BS204" s="546">
        <f t="shared" si="291"/>
        <v>1.059795747594762E-2</v>
      </c>
      <c r="BT204" s="546">
        <f t="shared" si="292"/>
        <v>1.3926862161630846E-2</v>
      </c>
      <c r="BU204" s="546"/>
      <c r="BV204" s="546">
        <f t="shared" si="293"/>
        <v>2.0564210526315789E-2</v>
      </c>
      <c r="BW204" s="472">
        <f t="shared" si="294"/>
        <v>70.789077043067223</v>
      </c>
      <c r="BX204" s="179">
        <f t="shared" si="295"/>
        <v>0.2029074440372029</v>
      </c>
      <c r="BY204" s="6">
        <f t="shared" si="296"/>
        <v>2.4815999999999998</v>
      </c>
      <c r="BZ204" s="179">
        <f t="shared" si="297"/>
        <v>0.92441539155054364</v>
      </c>
      <c r="CA204" s="6">
        <f t="shared" si="298"/>
        <v>92.441539155054357</v>
      </c>
      <c r="CD204" s="581">
        <f t="shared" si="327"/>
        <v>-50</v>
      </c>
      <c r="CE204">
        <f t="shared" si="328"/>
        <v>-50</v>
      </c>
    </row>
    <row r="205" spans="5:83" x14ac:dyDescent="0.2">
      <c r="E205" s="176">
        <v>95</v>
      </c>
      <c r="F205" s="223">
        <f t="shared" si="329"/>
        <v>0.1045</v>
      </c>
      <c r="G205" s="223"/>
      <c r="H205" s="223">
        <f t="shared" si="299"/>
        <v>2.508</v>
      </c>
      <c r="I205" s="559">
        <f t="shared" si="300"/>
        <v>10</v>
      </c>
      <c r="J205" s="454">
        <f t="shared" si="301"/>
        <v>24.25</v>
      </c>
      <c r="K205" s="454">
        <f t="shared" si="302"/>
        <v>34.25</v>
      </c>
      <c r="L205" s="454"/>
      <c r="M205" s="223">
        <f t="shared" si="303"/>
        <v>0.70802919708029199</v>
      </c>
      <c r="N205" s="178">
        <f t="shared" si="304"/>
        <v>4.8765510948905106</v>
      </c>
      <c r="O205" s="178">
        <f t="shared" si="333"/>
        <v>2.508</v>
      </c>
      <c r="P205" s="223">
        <f t="shared" si="305"/>
        <v>0.20318962895377127</v>
      </c>
      <c r="Q205" s="223">
        <f t="shared" si="306"/>
        <v>24</v>
      </c>
      <c r="R205" s="223"/>
      <c r="S205" s="178">
        <f t="shared" si="307"/>
        <v>55.953572067637054</v>
      </c>
      <c r="T205" s="554">
        <f t="shared" si="308"/>
        <v>24</v>
      </c>
      <c r="U205" s="223">
        <f t="shared" si="309"/>
        <v>0.74573195876288656</v>
      </c>
      <c r="V205" s="223">
        <f t="shared" si="310"/>
        <v>3.5049402061855668</v>
      </c>
      <c r="W205" s="223">
        <f t="shared" si="311"/>
        <v>1.4453361674992029</v>
      </c>
      <c r="X205" s="203">
        <f t="shared" si="312"/>
        <v>350</v>
      </c>
      <c r="Y205" s="454">
        <f t="shared" si="279"/>
        <v>202.00892324232871</v>
      </c>
      <c r="AA205" s="223">
        <f t="shared" si="313"/>
        <v>0.43041288576309544</v>
      </c>
      <c r="AB205" s="179">
        <f t="shared" si="314"/>
        <v>0.83420229405630864</v>
      </c>
      <c r="AC205" s="179">
        <f t="shared" si="315"/>
        <v>6.2833997921619769E-2</v>
      </c>
      <c r="AD205" s="179"/>
      <c r="AE205" s="179">
        <f t="shared" si="316"/>
        <v>0.56206185567010303</v>
      </c>
      <c r="AF205" s="563">
        <f t="shared" si="317"/>
        <v>1282.2248083588433</v>
      </c>
      <c r="AG205" s="546">
        <f t="shared" si="318"/>
        <v>2.8524639175257726E-2</v>
      </c>
      <c r="AI205" s="179">
        <f t="shared" si="319"/>
        <v>0.55506783725177933</v>
      </c>
      <c r="AJ205" s="179">
        <f t="shared" si="320"/>
        <v>0.74573195876288656</v>
      </c>
      <c r="AK205" s="179">
        <f t="shared" si="321"/>
        <v>1.5375792287132493</v>
      </c>
      <c r="AM205" s="563">
        <f t="shared" si="322"/>
        <v>104.5</v>
      </c>
      <c r="AN205" s="472">
        <f t="shared" si="323"/>
        <v>202.00892324232871</v>
      </c>
      <c r="AP205">
        <f t="shared" si="324"/>
        <v>104.5</v>
      </c>
      <c r="AQ205">
        <f t="shared" si="325"/>
        <v>202.00892324232871</v>
      </c>
      <c r="AS205" s="6">
        <f t="shared" si="334"/>
        <v>4.9502763736847699</v>
      </c>
      <c r="AT205" s="6">
        <f t="shared" si="326"/>
        <v>3.5049402061855668</v>
      </c>
      <c r="AU205" s="6">
        <f t="shared" si="280"/>
        <v>1.4453361674992031</v>
      </c>
      <c r="AV205" s="6"/>
      <c r="AW205" s="179">
        <f t="shared" si="281"/>
        <v>0.70802919708029188</v>
      </c>
      <c r="AX205" s="179">
        <f t="shared" si="330"/>
        <v>2.6399999999999997</v>
      </c>
      <c r="AY205" s="179">
        <f t="shared" si="331"/>
        <v>0.10886597938144332</v>
      </c>
      <c r="AZ205" s="179">
        <f t="shared" si="335"/>
        <v>24.249999999999993</v>
      </c>
      <c r="BD205" s="179">
        <f t="shared" si="336"/>
        <v>0.36228279664133656</v>
      </c>
      <c r="BE205" s="179">
        <f t="shared" si="332"/>
        <v>0.23264399132116545</v>
      </c>
      <c r="BG205" s="546">
        <f t="shared" si="282"/>
        <v>4.5937088659793804E-2</v>
      </c>
      <c r="BH205" s="546">
        <f t="shared" si="283"/>
        <v>3.8696808510638295E-2</v>
      </c>
      <c r="BI205" s="546">
        <f t="shared" si="284"/>
        <v>2.5251115405291085E-3</v>
      </c>
      <c r="BJ205" s="546">
        <f t="shared" si="285"/>
        <v>1.184845462604771E-2</v>
      </c>
      <c r="BK205">
        <f t="shared" si="286"/>
        <v>2.8999999999999998E-3</v>
      </c>
      <c r="BM205" s="472">
        <f t="shared" si="287"/>
        <v>101.90746333700891</v>
      </c>
      <c r="BN205" s="546">
        <f t="shared" si="288"/>
        <v>3.1349999999999996E-2</v>
      </c>
      <c r="BQ205" s="472">
        <f t="shared" si="289"/>
        <v>31.349999999999994</v>
      </c>
      <c r="BR205" s="546">
        <f t="shared" si="290"/>
        <v>2.6249764948453602E-2</v>
      </c>
      <c r="BS205" s="546">
        <f t="shared" si="291"/>
        <v>1.0824645339568501E-2</v>
      </c>
      <c r="BT205" s="546">
        <f t="shared" si="292"/>
        <v>1.3926862161630834E-2</v>
      </c>
      <c r="BU205" s="546"/>
      <c r="BV205" s="546">
        <f t="shared" si="293"/>
        <v>2.0782978723404254E-2</v>
      </c>
      <c r="BW205" s="472">
        <f t="shared" si="294"/>
        <v>71.784251173057186</v>
      </c>
      <c r="BX205" s="179">
        <f t="shared" si="295"/>
        <v>0.20504171451006611</v>
      </c>
      <c r="BY205" s="6">
        <f t="shared" si="296"/>
        <v>2.508</v>
      </c>
      <c r="BZ205" s="179">
        <f t="shared" si="297"/>
        <v>0.92442367789133173</v>
      </c>
      <c r="CA205" s="6">
        <f t="shared" si="298"/>
        <v>92.442367789133172</v>
      </c>
      <c r="CD205" s="581">
        <f t="shared" si="327"/>
        <v>-50</v>
      </c>
      <c r="CE205">
        <f t="shared" si="328"/>
        <v>-50</v>
      </c>
    </row>
    <row r="206" spans="5:83" x14ac:dyDescent="0.2">
      <c r="E206" s="176">
        <v>96</v>
      </c>
      <c r="F206" s="223">
        <f t="shared" si="329"/>
        <v>0.1056</v>
      </c>
      <c r="G206" s="223"/>
      <c r="H206" s="223">
        <f t="shared" ref="H206:H210" si="337">F206*Vout</f>
        <v>2.5343999999999998</v>
      </c>
      <c r="I206" s="559">
        <f t="shared" si="300"/>
        <v>10</v>
      </c>
      <c r="J206" s="454">
        <f t="shared" si="301"/>
        <v>24.25</v>
      </c>
      <c r="K206" s="454">
        <f t="shared" si="302"/>
        <v>34.25</v>
      </c>
      <c r="L206" s="454"/>
      <c r="M206" s="223">
        <f t="shared" si="303"/>
        <v>0.70802919708029199</v>
      </c>
      <c r="N206" s="178">
        <f t="shared" ref="N206:N210" si="338">M206*I206*Isw_max*0.5*Efficiency</f>
        <v>4.8765510948905106</v>
      </c>
      <c r="O206" s="178">
        <f t="shared" si="333"/>
        <v>2.5343999999999998</v>
      </c>
      <c r="P206" s="223">
        <f t="shared" ref="P206:P210" si="339">N206/Vout</f>
        <v>0.20318962895377127</v>
      </c>
      <c r="Q206" s="223">
        <f t="shared" si="306"/>
        <v>24</v>
      </c>
      <c r="R206" s="223"/>
      <c r="S206" s="178">
        <f t="shared" si="307"/>
        <v>55.267568669219195</v>
      </c>
      <c r="T206" s="554">
        <f t="shared" ref="T206:T210" si="340">MIN(Vout, S206)</f>
        <v>24</v>
      </c>
      <c r="U206" s="223">
        <f t="shared" si="309"/>
        <v>0.7535817688551274</v>
      </c>
      <c r="V206" s="223">
        <f t="shared" ref="V206:V210" si="341">L*U206/I206*1000000</f>
        <v>3.5418343136190988</v>
      </c>
      <c r="W206" s="223">
        <f t="shared" si="311"/>
        <v>1.4605502324202471</v>
      </c>
      <c r="X206" s="203">
        <f t="shared" si="312"/>
        <v>350</v>
      </c>
      <c r="Y206" s="454">
        <f t="shared" si="279"/>
        <v>199.90466362522113</v>
      </c>
      <c r="AA206" s="223">
        <f t="shared" si="313"/>
        <v>0.43041288576309544</v>
      </c>
      <c r="AB206" s="179">
        <f t="shared" ref="AB206:AB210" si="342">L*AA206/J206*1000000</f>
        <v>0.83420229405630864</v>
      </c>
      <c r="AC206" s="179">
        <f t="shared" ref="AC206:AC210" si="343">0.5*AB206*AA206*Nps*X206/1000</f>
        <v>6.2833997921619769E-2</v>
      </c>
      <c r="AD206" s="179"/>
      <c r="AE206" s="179">
        <f t="shared" si="316"/>
        <v>0.56206185567010303</v>
      </c>
      <c r="AF206" s="563">
        <f t="shared" ref="AF206:AF210" si="344">MAX(10000,F206/(0.5*AE206/1000000*Isw_min*Nps))/1000</f>
        <v>1295.7219116047263</v>
      </c>
      <c r="AG206" s="546">
        <f t="shared" si="318"/>
        <v>2.8524639175257726E-2</v>
      </c>
      <c r="AI206" s="179">
        <f t="shared" si="319"/>
        <v>0.55798159919982371</v>
      </c>
      <c r="AJ206" s="179">
        <f t="shared" ref="AJ206:AJ210" si="345">MAX(IF(F206&gt;AC206,U206,AI206),Isw_min)</f>
        <v>0.7535817688551274</v>
      </c>
      <c r="AK206" s="179">
        <f t="shared" ref="AK206:AK210" si="346">IF(F206&gt;AG206, (AJ206-Isw_min)/1.08*0.8+1.2, AF206*0.2/350+1)</f>
        <v>1.5433939028556498</v>
      </c>
      <c r="AM206" s="563">
        <f t="shared" si="322"/>
        <v>105.6</v>
      </c>
      <c r="AN206" s="472">
        <f t="shared" si="323"/>
        <v>199.90466362522113</v>
      </c>
      <c r="AP206">
        <f t="shared" si="324"/>
        <v>105.6</v>
      </c>
      <c r="AQ206">
        <f t="shared" si="325"/>
        <v>199.90466362522113</v>
      </c>
      <c r="AS206" s="6">
        <f t="shared" si="334"/>
        <v>5.0023845460393463</v>
      </c>
      <c r="AT206" s="6">
        <f t="shared" si="326"/>
        <v>3.5418343136190988</v>
      </c>
      <c r="AU206" s="6">
        <f t="shared" si="280"/>
        <v>1.4605502324202475</v>
      </c>
      <c r="AV206" s="6"/>
      <c r="AW206" s="179">
        <f t="shared" si="281"/>
        <v>0.70802919708029188</v>
      </c>
      <c r="AX206" s="179">
        <f t="shared" si="330"/>
        <v>2.66778947368421</v>
      </c>
      <c r="AY206" s="179">
        <f t="shared" si="331"/>
        <v>0.11001193705914272</v>
      </c>
      <c r="AZ206" s="179">
        <f t="shared" si="335"/>
        <v>24.249999999999989</v>
      </c>
      <c r="BD206" s="179">
        <f t="shared" si="336"/>
        <v>0.36609629976387692</v>
      </c>
      <c r="BE206" s="179">
        <f t="shared" si="332"/>
        <v>0.23509287544033558</v>
      </c>
      <c r="BG206" s="546">
        <f t="shared" si="282"/>
        <v>4.6909275245280851E-2</v>
      </c>
      <c r="BH206" s="546">
        <f t="shared" si="283"/>
        <v>3.8696808510638288E-2</v>
      </c>
      <c r="BI206" s="546">
        <f t="shared" si="284"/>
        <v>2.4988082953152644E-3</v>
      </c>
      <c r="BJ206" s="546">
        <f t="shared" si="285"/>
        <v>1.1725033223693048E-2</v>
      </c>
      <c r="BK206">
        <f t="shared" si="286"/>
        <v>2.8999999999999998E-3</v>
      </c>
      <c r="BM206" s="472">
        <f t="shared" si="287"/>
        <v>102.72992527492744</v>
      </c>
      <c r="BN206" s="546">
        <f t="shared" si="288"/>
        <v>3.168E-2</v>
      </c>
      <c r="BQ206" s="472">
        <f t="shared" si="289"/>
        <v>31.68</v>
      </c>
      <c r="BR206" s="546">
        <f t="shared" si="290"/>
        <v>2.6805300140160488E-2</v>
      </c>
      <c r="BS206" s="546">
        <f t="shared" si="291"/>
        <v>1.1053732016561029E-2</v>
      </c>
      <c r="BT206" s="546">
        <f t="shared" si="292"/>
        <v>1.3926862161630816E-2</v>
      </c>
      <c r="BU206" s="546"/>
      <c r="BV206" s="546">
        <f t="shared" si="293"/>
        <v>2.1001746920492718E-2</v>
      </c>
      <c r="BW206" s="472">
        <f t="shared" si="294"/>
        <v>72.787641238845055</v>
      </c>
      <c r="BX206" s="179">
        <f t="shared" si="295"/>
        <v>0.20719756651377252</v>
      </c>
      <c r="BY206" s="6">
        <f t="shared" si="296"/>
        <v>2.5343999999999998</v>
      </c>
      <c r="BZ206" s="179">
        <f t="shared" si="297"/>
        <v>0.92442451472655562</v>
      </c>
      <c r="CA206" s="6">
        <f t="shared" si="298"/>
        <v>92.442451472655563</v>
      </c>
      <c r="CD206" s="581">
        <f t="shared" si="327"/>
        <v>-50</v>
      </c>
      <c r="CE206">
        <f t="shared" si="328"/>
        <v>-50</v>
      </c>
    </row>
    <row r="207" spans="5:83" x14ac:dyDescent="0.2">
      <c r="E207" s="176">
        <v>97</v>
      </c>
      <c r="F207" s="223">
        <f t="shared" ref="F207:F210" si="347">IF(PLOT_TYPE=1, E207/100*Iout_max, min_I*EXP(N207*rr/100))</f>
        <v>0.1067</v>
      </c>
      <c r="G207" s="223"/>
      <c r="H207" s="223">
        <f t="shared" si="337"/>
        <v>2.5608</v>
      </c>
      <c r="I207" s="559">
        <f t="shared" si="300"/>
        <v>10</v>
      </c>
      <c r="J207" s="454">
        <f t="shared" si="301"/>
        <v>24.25</v>
      </c>
      <c r="K207" s="454">
        <f t="shared" si="302"/>
        <v>34.25</v>
      </c>
      <c r="L207" s="454"/>
      <c r="M207" s="223">
        <f t="shared" si="303"/>
        <v>0.70802919708029199</v>
      </c>
      <c r="N207" s="178">
        <f t="shared" si="338"/>
        <v>4.8765510948905106</v>
      </c>
      <c r="O207" s="178">
        <f t="shared" si="333"/>
        <v>2.5608</v>
      </c>
      <c r="P207" s="223">
        <f t="shared" si="339"/>
        <v>0.20318962895377127</v>
      </c>
      <c r="Q207" s="223">
        <f t="shared" si="306"/>
        <v>24</v>
      </c>
      <c r="R207" s="223"/>
      <c r="S207" s="178">
        <f t="shared" si="307"/>
        <v>54.595722986839597</v>
      </c>
      <c r="T207" s="554">
        <f t="shared" si="340"/>
        <v>24</v>
      </c>
      <c r="U207" s="223">
        <f t="shared" si="309"/>
        <v>0.76143157894736835</v>
      </c>
      <c r="V207" s="223">
        <f t="shared" si="341"/>
        <v>3.5787284210526309</v>
      </c>
      <c r="W207" s="223">
        <f t="shared" si="311"/>
        <v>1.475764297341291</v>
      </c>
      <c r="X207" s="203">
        <f t="shared" si="312"/>
        <v>350</v>
      </c>
      <c r="Y207" s="454">
        <f t="shared" si="279"/>
        <v>197.84379080434258</v>
      </c>
      <c r="AA207" s="223">
        <f t="shared" si="313"/>
        <v>0.43041288576309544</v>
      </c>
      <c r="AB207" s="179">
        <f t="shared" si="342"/>
        <v>0.83420229405630864</v>
      </c>
      <c r="AC207" s="179">
        <f t="shared" si="343"/>
        <v>6.2833997921619769E-2</v>
      </c>
      <c r="AD207" s="179"/>
      <c r="AE207" s="179">
        <f t="shared" si="316"/>
        <v>0.56206185567010303</v>
      </c>
      <c r="AF207" s="563">
        <f t="shared" si="344"/>
        <v>1309.2190148506088</v>
      </c>
      <c r="AG207" s="546">
        <f t="shared" si="318"/>
        <v>2.8524639175257726E-2</v>
      </c>
      <c r="AI207" s="179">
        <f t="shared" si="319"/>
        <v>0.5608802244149973</v>
      </c>
      <c r="AJ207" s="179">
        <f t="shared" si="345"/>
        <v>0.76143157894736835</v>
      </c>
      <c r="AK207" s="179">
        <f t="shared" si="346"/>
        <v>1.5492085769980506</v>
      </c>
      <c r="AM207" s="563">
        <f t="shared" si="322"/>
        <v>106.7</v>
      </c>
      <c r="AN207" s="472">
        <f t="shared" si="323"/>
        <v>197.84379080434258</v>
      </c>
      <c r="AP207">
        <f t="shared" si="324"/>
        <v>106.7</v>
      </c>
      <c r="AQ207">
        <f t="shared" si="325"/>
        <v>197.84379080434258</v>
      </c>
      <c r="AS207" s="6">
        <f t="shared" si="334"/>
        <v>5.0544927183939219</v>
      </c>
      <c r="AT207" s="6">
        <f t="shared" si="326"/>
        <v>3.5787284210526309</v>
      </c>
      <c r="AU207" s="6">
        <f t="shared" si="280"/>
        <v>1.475764297341291</v>
      </c>
      <c r="AV207" s="6"/>
      <c r="AW207" s="179">
        <f t="shared" si="281"/>
        <v>0.70802919708029199</v>
      </c>
      <c r="AX207" s="179">
        <f t="shared" si="330"/>
        <v>2.6955789473684209</v>
      </c>
      <c r="AY207" s="179">
        <f t="shared" si="331"/>
        <v>0.11115789473684208</v>
      </c>
      <c r="AZ207" s="179">
        <f t="shared" si="335"/>
        <v>24.250000000000004</v>
      </c>
      <c r="BD207" s="179">
        <f t="shared" si="336"/>
        <v>0.36990980288641734</v>
      </c>
      <c r="BE207" s="179">
        <f t="shared" si="332"/>
        <v>0.23754175955950571</v>
      </c>
      <c r="BG207" s="546">
        <f t="shared" si="282"/>
        <v>4.7891641795013845E-2</v>
      </c>
      <c r="BH207" s="546">
        <f t="shared" si="283"/>
        <v>3.8696808510638295E-2</v>
      </c>
      <c r="BI207" s="546">
        <f t="shared" si="284"/>
        <v>2.4730473850542822E-3</v>
      </c>
      <c r="BJ207" s="546">
        <f t="shared" si="285"/>
        <v>1.1604156592520955E-2</v>
      </c>
      <c r="BK207">
        <f t="shared" si="286"/>
        <v>2.8999999999999998E-3</v>
      </c>
      <c r="BM207" s="472">
        <f t="shared" si="287"/>
        <v>103.56565428322737</v>
      </c>
      <c r="BN207" s="546">
        <f t="shared" si="288"/>
        <v>3.2009999999999997E-2</v>
      </c>
      <c r="BQ207" s="472">
        <f t="shared" si="289"/>
        <v>32.01</v>
      </c>
      <c r="BR207" s="546">
        <f t="shared" si="290"/>
        <v>2.7366652454293629E-2</v>
      </c>
      <c r="BS207" s="546">
        <f t="shared" si="291"/>
        <v>1.1285217506925205E-2</v>
      </c>
      <c r="BT207" s="546">
        <f t="shared" si="292"/>
        <v>1.3926862161630837E-2</v>
      </c>
      <c r="BU207" s="546"/>
      <c r="BV207" s="546">
        <f t="shared" si="293"/>
        <v>2.122051511758119E-2</v>
      </c>
      <c r="BW207" s="472">
        <f t="shared" si="294"/>
        <v>73.799247240430859</v>
      </c>
      <c r="BX207" s="179">
        <f t="shared" si="295"/>
        <v>0.20937490152365823</v>
      </c>
      <c r="BY207" s="6">
        <f t="shared" si="296"/>
        <v>2.5608</v>
      </c>
      <c r="BZ207" s="179">
        <f t="shared" si="297"/>
        <v>0.92441816529039467</v>
      </c>
      <c r="CA207" s="6">
        <f t="shared" si="298"/>
        <v>92.441816529039471</v>
      </c>
      <c r="CD207" s="581">
        <f t="shared" si="327"/>
        <v>-50</v>
      </c>
      <c r="CE207">
        <f t="shared" si="328"/>
        <v>-50</v>
      </c>
    </row>
    <row r="208" spans="5:83" x14ac:dyDescent="0.2">
      <c r="E208" s="176">
        <v>98</v>
      </c>
      <c r="F208" s="223">
        <f t="shared" si="347"/>
        <v>0.10779999999999999</v>
      </c>
      <c r="G208" s="223"/>
      <c r="H208" s="223">
        <f t="shared" si="337"/>
        <v>2.5871999999999997</v>
      </c>
      <c r="I208" s="559">
        <f t="shared" si="300"/>
        <v>10</v>
      </c>
      <c r="J208" s="454">
        <f t="shared" si="301"/>
        <v>24.25</v>
      </c>
      <c r="K208" s="454">
        <f t="shared" si="302"/>
        <v>34.25</v>
      </c>
      <c r="L208" s="454"/>
      <c r="M208" s="223">
        <f t="shared" si="303"/>
        <v>0.70802919708029199</v>
      </c>
      <c r="N208" s="178">
        <f t="shared" si="338"/>
        <v>4.8765510948905106</v>
      </c>
      <c r="O208" s="178">
        <f t="shared" si="333"/>
        <v>2.5871999999999997</v>
      </c>
      <c r="P208" s="223">
        <f t="shared" si="339"/>
        <v>0.20318962895377127</v>
      </c>
      <c r="Q208" s="223">
        <f t="shared" si="306"/>
        <v>24</v>
      </c>
      <c r="R208" s="223"/>
      <c r="S208" s="178">
        <f t="shared" si="307"/>
        <v>53.937601692097282</v>
      </c>
      <c r="T208" s="554">
        <f t="shared" si="340"/>
        <v>24</v>
      </c>
      <c r="U208" s="223">
        <f t="shared" si="309"/>
        <v>0.76928138903960919</v>
      </c>
      <c r="V208" s="223">
        <f t="shared" si="341"/>
        <v>3.6156225284861634</v>
      </c>
      <c r="W208" s="223">
        <f t="shared" si="311"/>
        <v>1.4909783622623354</v>
      </c>
      <c r="X208" s="203">
        <f t="shared" si="312"/>
        <v>350</v>
      </c>
      <c r="Y208" s="454">
        <f t="shared" si="279"/>
        <v>195.82497661246151</v>
      </c>
      <c r="AA208" s="223">
        <f t="shared" si="313"/>
        <v>0.43041288576309544</v>
      </c>
      <c r="AB208" s="179">
        <f t="shared" si="342"/>
        <v>0.83420229405630864</v>
      </c>
      <c r="AC208" s="179">
        <f t="shared" si="343"/>
        <v>6.2833997921619769E-2</v>
      </c>
      <c r="AD208" s="179"/>
      <c r="AE208" s="179">
        <f t="shared" si="316"/>
        <v>0.56206185567010303</v>
      </c>
      <c r="AF208" s="563">
        <f t="shared" si="344"/>
        <v>1322.7161180964911</v>
      </c>
      <c r="AG208" s="546">
        <f t="shared" si="318"/>
        <v>2.8524639175257726E-2</v>
      </c>
      <c r="AI208" s="179">
        <f t="shared" si="319"/>
        <v>0.56376394637653315</v>
      </c>
      <c r="AJ208" s="179">
        <f t="shared" si="345"/>
        <v>0.76928138903960919</v>
      </c>
      <c r="AK208" s="179">
        <f t="shared" si="346"/>
        <v>1.5550232511404511</v>
      </c>
      <c r="AM208" s="563">
        <f t="shared" si="322"/>
        <v>107.8</v>
      </c>
      <c r="AN208" s="472">
        <f t="shared" si="323"/>
        <v>195.82497661246151</v>
      </c>
      <c r="AP208">
        <f t="shared" si="324"/>
        <v>107.8</v>
      </c>
      <c r="AQ208">
        <f t="shared" si="325"/>
        <v>195.82497661246151</v>
      </c>
      <c r="AS208" s="6">
        <f t="shared" si="334"/>
        <v>5.1066008907484992</v>
      </c>
      <c r="AT208" s="6">
        <f t="shared" si="326"/>
        <v>3.6156225284861634</v>
      </c>
      <c r="AU208" s="6">
        <f t="shared" si="280"/>
        <v>1.4909783622623358</v>
      </c>
      <c r="AV208" s="6"/>
      <c r="AW208" s="179">
        <f t="shared" si="281"/>
        <v>0.70802919708029188</v>
      </c>
      <c r="AX208" s="179">
        <f t="shared" si="330"/>
        <v>2.7233684210526308</v>
      </c>
      <c r="AY208" s="179">
        <f t="shared" si="331"/>
        <v>0.11230385241454152</v>
      </c>
      <c r="AZ208" s="179">
        <f t="shared" si="335"/>
        <v>24.249999999999989</v>
      </c>
      <c r="BD208" s="179">
        <f t="shared" si="336"/>
        <v>0.37372330600895765</v>
      </c>
      <c r="BE208" s="179">
        <f t="shared" si="332"/>
        <v>0.2399906436786759</v>
      </c>
      <c r="BG208" s="546">
        <f t="shared" si="282"/>
        <v>4.888418830899275E-2</v>
      </c>
      <c r="BH208" s="546">
        <f t="shared" si="283"/>
        <v>3.8696808510638281E-2</v>
      </c>
      <c r="BI208" s="546">
        <f t="shared" si="284"/>
        <v>2.4478122076557686E-3</v>
      </c>
      <c r="BJ208" s="546">
        <f t="shared" si="285"/>
        <v>1.1485746831372781E-2</v>
      </c>
      <c r="BK208">
        <f t="shared" si="286"/>
        <v>2.8999999999999998E-3</v>
      </c>
      <c r="BM208" s="472">
        <f t="shared" si="287"/>
        <v>104.41455585865958</v>
      </c>
      <c r="BN208" s="546">
        <f t="shared" si="288"/>
        <v>3.2339999999999994E-2</v>
      </c>
      <c r="BQ208" s="472">
        <f t="shared" si="289"/>
        <v>32.339999999999996</v>
      </c>
      <c r="BR208" s="546">
        <f t="shared" si="290"/>
        <v>2.7933821890853E-2</v>
      </c>
      <c r="BS208" s="546">
        <f t="shared" si="291"/>
        <v>1.1519101810661035E-2</v>
      </c>
      <c r="BT208" s="546">
        <f t="shared" si="292"/>
        <v>1.3926862161630834E-2</v>
      </c>
      <c r="BU208" s="546"/>
      <c r="BV208" s="546">
        <f t="shared" si="293"/>
        <v>2.1439283314669648E-2</v>
      </c>
      <c r="BW208" s="472">
        <f t="shared" si="294"/>
        <v>74.819069177814512</v>
      </c>
      <c r="BX208" s="179">
        <f t="shared" si="295"/>
        <v>0.21157362503647412</v>
      </c>
      <c r="BY208" s="6">
        <f t="shared" si="296"/>
        <v>2.5871999999999997</v>
      </c>
      <c r="BZ208" s="179">
        <f t="shared" si="297"/>
        <v>0.92440488107225294</v>
      </c>
      <c r="CA208" s="6">
        <f t="shared" si="298"/>
        <v>92.440488107225292</v>
      </c>
      <c r="CD208" s="581">
        <f t="shared" si="327"/>
        <v>-50</v>
      </c>
      <c r="CE208">
        <f t="shared" si="328"/>
        <v>-50</v>
      </c>
    </row>
    <row r="209" spans="5:85" x14ac:dyDescent="0.2">
      <c r="E209" s="176">
        <v>99</v>
      </c>
      <c r="F209" s="223">
        <f t="shared" si="347"/>
        <v>0.1089</v>
      </c>
      <c r="G209" s="223"/>
      <c r="H209" s="223">
        <f t="shared" si="337"/>
        <v>2.6135999999999999</v>
      </c>
      <c r="I209" s="559">
        <f t="shared" si="300"/>
        <v>10</v>
      </c>
      <c r="J209" s="454">
        <f t="shared" si="301"/>
        <v>24.25</v>
      </c>
      <c r="K209" s="454">
        <f t="shared" si="302"/>
        <v>34.25</v>
      </c>
      <c r="L209" s="454"/>
      <c r="M209" s="223">
        <f t="shared" si="303"/>
        <v>0.70802919708029199</v>
      </c>
      <c r="N209" s="178">
        <f t="shared" si="338"/>
        <v>4.8765510948905106</v>
      </c>
      <c r="O209" s="178">
        <f t="shared" si="333"/>
        <v>2.6135999999999999</v>
      </c>
      <c r="P209" s="223">
        <f t="shared" si="339"/>
        <v>0.20318962895377127</v>
      </c>
      <c r="Q209" s="223">
        <f t="shared" si="306"/>
        <v>24</v>
      </c>
      <c r="R209" s="223"/>
      <c r="S209" s="178">
        <f t="shared" si="307"/>
        <v>53.292788965296857</v>
      </c>
      <c r="T209" s="554">
        <f t="shared" si="340"/>
        <v>24</v>
      </c>
      <c r="U209" s="223">
        <f t="shared" si="309"/>
        <v>0.77713119913185014</v>
      </c>
      <c r="V209" s="223">
        <f t="shared" si="341"/>
        <v>3.6525166359196954</v>
      </c>
      <c r="W209" s="223">
        <f t="shared" si="311"/>
        <v>1.5061924271833795</v>
      </c>
      <c r="X209" s="203">
        <f t="shared" si="312"/>
        <v>350</v>
      </c>
      <c r="Y209" s="454">
        <f t="shared" si="279"/>
        <v>193.846946545669</v>
      </c>
      <c r="AA209" s="223">
        <f t="shared" si="313"/>
        <v>0.43041288576309544</v>
      </c>
      <c r="AB209" s="179">
        <f t="shared" si="342"/>
        <v>0.83420229405630864</v>
      </c>
      <c r="AC209" s="179">
        <f t="shared" si="343"/>
        <v>6.2833997921619769E-2</v>
      </c>
      <c r="AD209" s="179"/>
      <c r="AE209" s="179">
        <f t="shared" si="316"/>
        <v>0.56206185567010303</v>
      </c>
      <c r="AF209" s="563">
        <f t="shared" si="344"/>
        <v>1336.2132213423738</v>
      </c>
      <c r="AG209" s="546">
        <f t="shared" si="318"/>
        <v>2.8524639175257726E-2</v>
      </c>
      <c r="AI209" s="179">
        <f t="shared" si="319"/>
        <v>0.56663299262244471</v>
      </c>
      <c r="AJ209" s="179">
        <f t="shared" si="345"/>
        <v>0.77713119913185014</v>
      </c>
      <c r="AK209" s="179">
        <f t="shared" si="346"/>
        <v>1.5608379252828519</v>
      </c>
      <c r="AM209" s="563">
        <f t="shared" si="322"/>
        <v>108.89999999999999</v>
      </c>
      <c r="AN209" s="472">
        <f t="shared" si="323"/>
        <v>193.846946545669</v>
      </c>
      <c r="AP209">
        <f t="shared" si="324"/>
        <v>108.89999999999999</v>
      </c>
      <c r="AQ209">
        <f t="shared" si="325"/>
        <v>193.846946545669</v>
      </c>
      <c r="AS209" s="6">
        <f t="shared" si="334"/>
        <v>5.1587090631030748</v>
      </c>
      <c r="AT209" s="6">
        <f t="shared" si="326"/>
        <v>3.6525166359196954</v>
      </c>
      <c r="AU209" s="6">
        <f t="shared" si="280"/>
        <v>1.5061924271833793</v>
      </c>
      <c r="AV209" s="6"/>
      <c r="AW209" s="179">
        <f t="shared" si="281"/>
        <v>0.70802919708029199</v>
      </c>
      <c r="AX209" s="179">
        <f t="shared" si="330"/>
        <v>2.7511578947368416</v>
      </c>
      <c r="AY209" s="179">
        <f t="shared" si="331"/>
        <v>0.11344981009224089</v>
      </c>
      <c r="AZ209" s="179">
        <f t="shared" si="335"/>
        <v>24.25</v>
      </c>
      <c r="BD209" s="179">
        <f t="shared" si="336"/>
        <v>0.37753680913149812</v>
      </c>
      <c r="BE209" s="179">
        <f t="shared" si="332"/>
        <v>0.24243952779784603</v>
      </c>
      <c r="BG209" s="546">
        <f t="shared" si="282"/>
        <v>4.9886914787217636E-2</v>
      </c>
      <c r="BH209" s="546">
        <f t="shared" si="283"/>
        <v>3.8696808510638295E-2</v>
      </c>
      <c r="BI209" s="546">
        <f t="shared" si="284"/>
        <v>2.4230868318208627E-3</v>
      </c>
      <c r="BJ209" s="546">
        <f t="shared" si="285"/>
        <v>1.1369729186611442E-2</v>
      </c>
      <c r="BK209">
        <f t="shared" si="286"/>
        <v>2.8999999999999998E-3</v>
      </c>
      <c r="BM209" s="472">
        <f t="shared" si="287"/>
        <v>105.27653931628825</v>
      </c>
      <c r="BN209" s="546">
        <f t="shared" si="288"/>
        <v>3.2669999999999998E-2</v>
      </c>
      <c r="BQ209" s="472">
        <f t="shared" si="289"/>
        <v>32.669999999999995</v>
      </c>
      <c r="BR209" s="546">
        <f t="shared" si="290"/>
        <v>2.8506808449838651E-2</v>
      </c>
      <c r="BS209" s="546">
        <f t="shared" si="291"/>
        <v>1.1755384927768512E-2</v>
      </c>
      <c r="BT209" s="546">
        <f t="shared" si="292"/>
        <v>1.3926862161630834E-2</v>
      </c>
      <c r="BU209" s="546"/>
      <c r="BV209" s="546">
        <f t="shared" si="293"/>
        <v>2.1658051511758116E-2</v>
      </c>
      <c r="BW209" s="472">
        <f t="shared" si="294"/>
        <v>75.847107050996101</v>
      </c>
      <c r="BX209" s="179">
        <f t="shared" si="295"/>
        <v>0.21379364636728437</v>
      </c>
      <c r="BY209" s="6">
        <f t="shared" si="296"/>
        <v>2.6135999999999999</v>
      </c>
      <c r="BZ209" s="179">
        <f t="shared" si="297"/>
        <v>0.92438490245531513</v>
      </c>
      <c r="CA209" s="6">
        <f t="shared" si="298"/>
        <v>92.438490245531511</v>
      </c>
      <c r="CD209" s="581">
        <f t="shared" si="327"/>
        <v>-50</v>
      </c>
      <c r="CE209">
        <f t="shared" si="328"/>
        <v>-50</v>
      </c>
    </row>
    <row r="210" spans="5:85" x14ac:dyDescent="0.2">
      <c r="E210" s="176">
        <v>100</v>
      </c>
      <c r="F210" s="223">
        <f t="shared" si="347"/>
        <v>0.11</v>
      </c>
      <c r="G210" s="223"/>
      <c r="H210" s="223">
        <f t="shared" si="337"/>
        <v>2.64</v>
      </c>
      <c r="I210" s="559">
        <f t="shared" si="300"/>
        <v>10</v>
      </c>
      <c r="J210" s="454">
        <f t="shared" si="301"/>
        <v>24.25</v>
      </c>
      <c r="K210" s="454">
        <f t="shared" si="302"/>
        <v>34.25</v>
      </c>
      <c r="L210" s="454"/>
      <c r="M210" s="223">
        <f t="shared" si="303"/>
        <v>0.70802919708029199</v>
      </c>
      <c r="N210" s="178">
        <f t="shared" si="338"/>
        <v>4.8765510948905106</v>
      </c>
      <c r="O210" s="178">
        <f t="shared" si="333"/>
        <v>2.64</v>
      </c>
      <c r="P210" s="223">
        <f t="shared" si="339"/>
        <v>0.20318962895377127</v>
      </c>
      <c r="Q210" s="223">
        <f t="shared" si="306"/>
        <v>24</v>
      </c>
      <c r="R210" s="223"/>
      <c r="S210" s="178">
        <f t="shared" si="307"/>
        <v>52.660885620017254</v>
      </c>
      <c r="T210" s="554">
        <f t="shared" si="340"/>
        <v>24</v>
      </c>
      <c r="U210" s="223">
        <f t="shared" si="309"/>
        <v>0.7849810092240912</v>
      </c>
      <c r="V210" s="223">
        <f t="shared" si="341"/>
        <v>3.6894107433532284</v>
      </c>
      <c r="W210" s="223">
        <f t="shared" si="311"/>
        <v>1.5214064921044239</v>
      </c>
      <c r="X210" s="203">
        <f t="shared" si="312"/>
        <v>350</v>
      </c>
      <c r="Y210" s="454">
        <f t="shared" si="279"/>
        <v>191.90847708021229</v>
      </c>
      <c r="AA210" s="223">
        <f t="shared" si="313"/>
        <v>0.43041288576309544</v>
      </c>
      <c r="AB210" s="179">
        <f t="shared" si="342"/>
        <v>0.83420229405630864</v>
      </c>
      <c r="AC210" s="179">
        <f t="shared" si="343"/>
        <v>6.2833997921619769E-2</v>
      </c>
      <c r="AD210" s="179"/>
      <c r="AE210" s="179">
        <f t="shared" si="316"/>
        <v>0.56206185567010303</v>
      </c>
      <c r="AF210" s="563">
        <f t="shared" si="344"/>
        <v>1349.7103245882565</v>
      </c>
      <c r="AG210" s="546">
        <f t="shared" si="318"/>
        <v>2.8524639175257726E-2</v>
      </c>
      <c r="AI210" s="179">
        <f t="shared" si="319"/>
        <v>0.56948758495905105</v>
      </c>
      <c r="AJ210" s="179">
        <f t="shared" si="345"/>
        <v>0.7849810092240912</v>
      </c>
      <c r="AK210" s="179">
        <f t="shared" si="346"/>
        <v>1.5666525994252527</v>
      </c>
      <c r="AM210" s="563">
        <f t="shared" si="322"/>
        <v>110</v>
      </c>
      <c r="AN210" s="472">
        <f t="shared" si="323"/>
        <v>191.90847708021229</v>
      </c>
      <c r="AP210">
        <f t="shared" si="324"/>
        <v>110</v>
      </c>
      <c r="AQ210">
        <f t="shared" si="325"/>
        <v>191.90847708021229</v>
      </c>
      <c r="AS210" s="6">
        <f t="shared" si="334"/>
        <v>5.2108172354576521</v>
      </c>
      <c r="AT210" s="6">
        <f t="shared" si="326"/>
        <v>3.6894107433532284</v>
      </c>
      <c r="AU210" s="6">
        <f t="shared" si="280"/>
        <v>1.5214064921044237</v>
      </c>
      <c r="AV210" s="6"/>
      <c r="AW210" s="179">
        <f t="shared" si="281"/>
        <v>0.70802919708029199</v>
      </c>
      <c r="AX210" s="179">
        <f t="shared" si="330"/>
        <v>2.7789473684210528</v>
      </c>
      <c r="AY210" s="179">
        <f t="shared" si="331"/>
        <v>0.11459576776994031</v>
      </c>
      <c r="AZ210" s="179">
        <f t="shared" si="335"/>
        <v>24.250000000000004</v>
      </c>
      <c r="BD210" s="179">
        <f t="shared" si="336"/>
        <v>0.38135031225403854</v>
      </c>
      <c r="BE210" s="179">
        <f t="shared" si="332"/>
        <v>0.24488841191701624</v>
      </c>
      <c r="BG210" s="546">
        <f t="shared" si="282"/>
        <v>5.089982122968844E-2</v>
      </c>
      <c r="BH210" s="546">
        <f t="shared" si="283"/>
        <v>3.8696808510638295E-2</v>
      </c>
      <c r="BI210" s="546">
        <f t="shared" si="284"/>
        <v>2.3988559635026536E-3</v>
      </c>
      <c r="BJ210" s="546">
        <f t="shared" si="285"/>
        <v>1.1256031894745328E-2</v>
      </c>
      <c r="BK210">
        <f t="shared" si="286"/>
        <v>2.8999999999999998E-3</v>
      </c>
      <c r="BM210" s="472">
        <f t="shared" si="287"/>
        <v>106.15151759857471</v>
      </c>
      <c r="BN210" s="546">
        <f t="shared" si="288"/>
        <v>3.3000000000000002E-2</v>
      </c>
      <c r="BQ210" s="472">
        <f t="shared" si="289"/>
        <v>33</v>
      </c>
      <c r="BR210" s="546">
        <f t="shared" si="290"/>
        <v>2.9085612131250538E-2</v>
      </c>
      <c r="BS210" s="546">
        <f t="shared" si="291"/>
        <v>1.1994066858247644E-2</v>
      </c>
      <c r="BT210" s="546">
        <f t="shared" si="292"/>
        <v>1.3926862161630839E-2</v>
      </c>
      <c r="BU210" s="546"/>
      <c r="BV210" s="546">
        <f t="shared" si="293"/>
        <v>2.1876819708846588E-2</v>
      </c>
      <c r="BW210" s="472">
        <f t="shared" si="294"/>
        <v>76.88336085997561</v>
      </c>
      <c r="BX210" s="179">
        <f t="shared" si="295"/>
        <v>0.21603487845855032</v>
      </c>
      <c r="BY210" s="6">
        <f t="shared" si="296"/>
        <v>2.64</v>
      </c>
      <c r="BZ210" s="179">
        <f t="shared" si="297"/>
        <v>0.92435845931435268</v>
      </c>
      <c r="CA210" s="6">
        <f t="shared" si="298"/>
        <v>92.435845931435267</v>
      </c>
      <c r="CD210" s="581">
        <f t="shared" si="327"/>
        <v>-50</v>
      </c>
      <c r="CE210">
        <f t="shared" si="328"/>
        <v>-50</v>
      </c>
    </row>
    <row r="211" spans="5:85" x14ac:dyDescent="0.2">
      <c r="E211" s="176"/>
      <c r="F211" s="223"/>
      <c r="G211" s="223"/>
      <c r="H211" s="223"/>
      <c r="I211" s="559"/>
      <c r="J211" s="454"/>
      <c r="K211" s="454"/>
      <c r="L211" s="454"/>
      <c r="M211" s="223"/>
      <c r="N211" s="178"/>
      <c r="O211" s="178"/>
      <c r="P211" s="223"/>
      <c r="Q211" s="223"/>
      <c r="R211" s="223"/>
      <c r="S211" s="178"/>
      <c r="T211" s="178"/>
      <c r="U211" s="223"/>
      <c r="V211" s="223"/>
      <c r="W211" s="223"/>
      <c r="X211" s="203"/>
      <c r="Y211" s="454"/>
      <c r="AA211" s="223"/>
      <c r="AB211" s="179"/>
      <c r="AC211" s="179"/>
      <c r="AD211" s="179"/>
      <c r="AE211" s="179"/>
      <c r="AF211" s="563"/>
      <c r="AI211" s="179"/>
      <c r="AJ211" s="179"/>
      <c r="AK211" s="179"/>
      <c r="AM211" s="563"/>
      <c r="AN211" s="472"/>
      <c r="AS211" s="6"/>
      <c r="AT211" s="6"/>
      <c r="AU211" s="6"/>
      <c r="AV211" s="6"/>
      <c r="AW211" s="179"/>
      <c r="AX211" s="179"/>
      <c r="CD211" s="581"/>
      <c r="CF211" s="548">
        <f>MAX(CE110:CE210)</f>
        <v>-50</v>
      </c>
      <c r="CG211" s="78" t="s">
        <v>45</v>
      </c>
    </row>
    <row r="212" spans="5:85" x14ac:dyDescent="0.2">
      <c r="H212" s="223"/>
      <c r="I212" s="559"/>
      <c r="J212" s="454"/>
      <c r="K212" s="454"/>
      <c r="L212" s="454"/>
      <c r="M212" s="223"/>
      <c r="N212" s="550">
        <f>M210*I210*Isw_max*0.5*Efficiency</f>
        <v>4.8765510948905106</v>
      </c>
      <c r="O212" s="178"/>
      <c r="P212" s="223"/>
      <c r="Q212" s="223"/>
      <c r="R212" s="223"/>
      <c r="S212" s="178"/>
      <c r="T212" s="178"/>
      <c r="U212" s="223"/>
      <c r="V212" s="223"/>
      <c r="W212" s="223"/>
      <c r="X212" s="203"/>
      <c r="Y212" s="454"/>
      <c r="AA212" s="223"/>
      <c r="AB212" s="179"/>
      <c r="AC212" s="179"/>
      <c r="AD212" s="179"/>
      <c r="AE212" s="179"/>
      <c r="AF212" s="563"/>
      <c r="AI212" s="179"/>
      <c r="AJ212" s="179"/>
      <c r="AK212" s="179"/>
      <c r="AM212" s="563"/>
      <c r="AN212" s="472"/>
      <c r="AS212" s="6"/>
      <c r="AT212" s="6"/>
      <c r="AU212" s="6"/>
      <c r="AV212" s="6"/>
      <c r="AW212" s="179"/>
      <c r="AX212" s="179"/>
      <c r="CD212" s="581"/>
    </row>
    <row r="213" spans="5:85" x14ac:dyDescent="0.2">
      <c r="H213" s="223"/>
      <c r="I213" s="559"/>
      <c r="J213" s="454"/>
      <c r="K213" s="454"/>
      <c r="L213" s="454"/>
      <c r="M213" s="223"/>
      <c r="N213" s="178"/>
      <c r="O213" s="178"/>
      <c r="P213" s="223"/>
      <c r="Q213" s="223"/>
      <c r="R213" s="223"/>
      <c r="S213" s="178"/>
      <c r="T213" s="178"/>
      <c r="U213" s="223"/>
      <c r="V213" s="223"/>
      <c r="W213" s="223"/>
      <c r="X213" s="203"/>
      <c r="Y213" s="454"/>
      <c r="AA213" s="223"/>
      <c r="AB213" s="179"/>
      <c r="AC213" s="179"/>
      <c r="AD213" s="179"/>
      <c r="AE213" s="179"/>
      <c r="AF213" s="563"/>
      <c r="AI213" s="179"/>
      <c r="AJ213" s="179"/>
      <c r="AK213" s="179"/>
      <c r="AM213" s="563"/>
      <c r="AN213" s="472"/>
      <c r="AS213" s="6"/>
      <c r="AT213" s="6"/>
      <c r="AU213" s="6"/>
      <c r="AV213" s="6"/>
      <c r="AW213" s="179"/>
      <c r="AX213" s="179"/>
      <c r="CD213" s="581"/>
    </row>
    <row r="214" spans="5:85" x14ac:dyDescent="0.2">
      <c r="E214" s="456" t="s">
        <v>446</v>
      </c>
      <c r="H214" s="223"/>
      <c r="I214" s="559"/>
      <c r="J214" s="454"/>
      <c r="K214" s="454"/>
      <c r="L214" s="454"/>
      <c r="M214" s="223"/>
      <c r="N214" s="178"/>
      <c r="O214" s="178"/>
      <c r="P214" s="223"/>
      <c r="Q214" s="223"/>
      <c r="R214" s="223"/>
      <c r="S214" s="178"/>
      <c r="T214" s="178"/>
      <c r="U214" s="223"/>
      <c r="V214" s="223"/>
      <c r="W214" s="223"/>
      <c r="X214" s="203"/>
      <c r="Y214" s="454"/>
      <c r="AA214" s="223"/>
      <c r="AB214" s="179"/>
      <c r="AC214" s="179"/>
      <c r="AD214" s="179"/>
      <c r="AE214" s="179"/>
      <c r="AF214" s="563"/>
      <c r="AI214" s="179"/>
      <c r="AJ214" s="179"/>
      <c r="AK214" s="179"/>
      <c r="AM214" s="563"/>
      <c r="AN214" s="472"/>
      <c r="AS214" s="6"/>
      <c r="AT214" s="6"/>
      <c r="AU214" s="6"/>
      <c r="AV214" s="6"/>
      <c r="AW214" s="179"/>
      <c r="AX214" s="179"/>
      <c r="CD214" s="581"/>
    </row>
    <row r="215" spans="5:85" ht="45" customHeight="1" thickBot="1" x14ac:dyDescent="0.25">
      <c r="E215" s="247" t="s">
        <v>25</v>
      </c>
      <c r="F215" s="455" t="s">
        <v>195</v>
      </c>
      <c r="G215" s="266"/>
      <c r="H215" s="545" t="s">
        <v>224</v>
      </c>
      <c r="I215" s="248" t="s">
        <v>423</v>
      </c>
      <c r="J215" s="249" t="s">
        <v>429</v>
      </c>
      <c r="K215" s="545" t="s">
        <v>424</v>
      </c>
      <c r="L215" s="545"/>
      <c r="M215" s="250" t="s">
        <v>48</v>
      </c>
      <c r="N215" s="545" t="s">
        <v>413</v>
      </c>
      <c r="O215" s="178"/>
      <c r="P215" s="545" t="s">
        <v>414</v>
      </c>
      <c r="Q215" s="545" t="s">
        <v>444</v>
      </c>
      <c r="R215" s="545"/>
      <c r="S215" s="178"/>
      <c r="T215" s="178"/>
      <c r="U215" s="545" t="s">
        <v>425</v>
      </c>
      <c r="V215" s="545" t="s">
        <v>477</v>
      </c>
      <c r="W215" s="545" t="s">
        <v>476</v>
      </c>
      <c r="X215" s="565" t="s">
        <v>431</v>
      </c>
      <c r="Y215" s="560" t="s">
        <v>436</v>
      </c>
      <c r="AA215" s="251" t="s">
        <v>428</v>
      </c>
      <c r="AB215" s="251" t="s">
        <v>475</v>
      </c>
      <c r="AC215" s="251" t="s">
        <v>434</v>
      </c>
      <c r="AD215" s="562"/>
      <c r="AE215" s="251" t="s">
        <v>474</v>
      </c>
      <c r="AF215" s="251" t="s">
        <v>437</v>
      </c>
      <c r="AG215" s="251" t="s">
        <v>438</v>
      </c>
      <c r="AH215" s="562"/>
      <c r="AI215" s="251" t="s">
        <v>440</v>
      </c>
      <c r="AJ215" s="566" t="s">
        <v>441</v>
      </c>
      <c r="AK215" s="566" t="s">
        <v>442</v>
      </c>
      <c r="AM215" s="561" t="s">
        <v>276</v>
      </c>
      <c r="AN215" s="561" t="s">
        <v>443</v>
      </c>
      <c r="AP215" s="251" t="s">
        <v>276</v>
      </c>
      <c r="AQ215" s="251" t="s">
        <v>443</v>
      </c>
      <c r="AR215" s="567"/>
      <c r="AS215" s="251" t="s">
        <v>478</v>
      </c>
      <c r="AT215" s="6"/>
      <c r="AU215" s="6"/>
      <c r="AV215" s="6"/>
      <c r="AW215" s="179"/>
      <c r="AX215" s="179"/>
      <c r="AY215" s="562"/>
      <c r="AZ215" s="562"/>
      <c r="BA215" s="251" t="s">
        <v>493</v>
      </c>
      <c r="BB215" s="251" t="s">
        <v>494</v>
      </c>
      <c r="BC215" s="562"/>
      <c r="BD215" s="576" t="s">
        <v>467</v>
      </c>
      <c r="BE215" s="251" t="s">
        <v>468</v>
      </c>
      <c r="BF215" s="562"/>
      <c r="BG215" s="576" t="s">
        <v>485</v>
      </c>
      <c r="BH215" s="251" t="s">
        <v>486</v>
      </c>
      <c r="BI215" s="251" t="s">
        <v>484</v>
      </c>
      <c r="BJ215" s="251" t="s">
        <v>480</v>
      </c>
      <c r="BK215" s="251" t="s">
        <v>489</v>
      </c>
      <c r="BL215" s="251"/>
      <c r="BM215" s="251" t="s">
        <v>504</v>
      </c>
      <c r="BN215" s="576" t="s">
        <v>487</v>
      </c>
      <c r="BO215" s="251" t="s">
        <v>488</v>
      </c>
      <c r="BP215" s="251" t="s">
        <v>496</v>
      </c>
      <c r="BQ215" s="251" t="s">
        <v>500</v>
      </c>
      <c r="BR215" s="576" t="s">
        <v>469</v>
      </c>
      <c r="BS215" s="251" t="s">
        <v>470</v>
      </c>
      <c r="BT215" s="251" t="s">
        <v>479</v>
      </c>
      <c r="BU215" s="251"/>
      <c r="BV215" s="251" t="s">
        <v>497</v>
      </c>
      <c r="BW215" s="251" t="s">
        <v>499</v>
      </c>
      <c r="BX215" s="576" t="s">
        <v>495</v>
      </c>
      <c r="BY215" s="251" t="s">
        <v>224</v>
      </c>
      <c r="BZ215" s="251" t="s">
        <v>47</v>
      </c>
      <c r="CA215" s="251" t="s">
        <v>498</v>
      </c>
      <c r="CB215" s="251"/>
      <c r="CD215" s="581"/>
    </row>
    <row r="216" spans="5:85" x14ac:dyDescent="0.2">
      <c r="E216" s="176">
        <v>0.1</v>
      </c>
      <c r="F216" s="223">
        <v>1.0000000000000001E-9</v>
      </c>
      <c r="G216" s="223"/>
      <c r="H216" s="223">
        <f t="shared" ref="H216:H247" si="348">F216*Vout</f>
        <v>2.4000000000000003E-8</v>
      </c>
      <c r="I216" s="559">
        <f t="shared" ref="I216:I247" si="349">VIN_max</f>
        <v>15</v>
      </c>
      <c r="J216" s="454">
        <f t="shared" ref="J216:J247" si="350">(T216+Vfwd1)*Nps</f>
        <v>24.25</v>
      </c>
      <c r="K216" s="454">
        <f t="shared" ref="K216:K247" si="351">(Vout+Vfwd1)*Nps+I216</f>
        <v>39.25</v>
      </c>
      <c r="L216" s="454"/>
      <c r="M216" s="223">
        <f t="shared" ref="M216:M247" si="352">(Vout+Vfwd1)*Nps/((Vout+Vfwd1)*Nps+I216)</f>
        <v>0.61783439490445857</v>
      </c>
      <c r="N216" s="178">
        <f t="shared" ref="N216:N247" si="353">M216*I216*Isw_max*0.5*Efficiency</f>
        <v>6.3830015923566883</v>
      </c>
      <c r="O216" s="178">
        <f t="shared" si="333"/>
        <v>2.4000000000000003E-8</v>
      </c>
      <c r="P216" s="223">
        <f t="shared" ref="P216:P247" si="354">N216/Vout</f>
        <v>0.26595839968152868</v>
      </c>
      <c r="Q216" s="223">
        <f t="shared" ref="Q216:Q247" si="355">MIN(Vout,N216/F216)</f>
        <v>24</v>
      </c>
      <c r="R216" s="223"/>
      <c r="S216" s="178">
        <f t="shared" ref="S216:S247" si="356">(SQRT(Isw_max^2*Nps^2*I216^2+4*Isw_max*F216/Efficiency*(Nps^2*Vfwd1*I216-Nps*I216^2)+4*(F216/Efficiency)^2*Nps^2*Vfwd1^2+8*(F216/Efficiency)^2*Nps*Vfwd1*I216+4*(F216/Efficiency)^2*I216^2)-2*F216/Efficiency*I216-2*F216/Efficiency*Nps*Vfwd1+Isw_max*Nps*I216)/(4*F216/Efficiency*Nps)</f>
        <v>10331249984.999998</v>
      </c>
      <c r="T216" s="178">
        <f t="shared" ref="T216:T247" si="357">MIN(Vout, S216)</f>
        <v>24</v>
      </c>
      <c r="U216" s="223">
        <f t="shared" ref="U216:U247" si="358">MIN(2*Vout*F216/(Efficiency*I216*M216), Isw_max)</f>
        <v>5.4519804666304953E-9</v>
      </c>
      <c r="V216" s="223">
        <f t="shared" ref="V216:V247" si="359">L*U216/I216*1000000</f>
        <v>1.7082872128775551E-8</v>
      </c>
      <c r="W216" s="223">
        <f t="shared" ref="W216:W247" si="360">L*U216/J216*1000000</f>
        <v>1.0566725028108588E-8</v>
      </c>
      <c r="X216" s="203">
        <f t="shared" ref="X216:X247" si="361">IF(1/((350000*L)*(1/I216+1/J216))&gt;Isw_min, 350, 0.001/((Isw_min*L)*(1/I216+1/J216)))</f>
        <v>350</v>
      </c>
      <c r="Y216" s="454">
        <f t="shared" ref="Y216:Y275" si="362">MIN(1/(V216+W216)*1000, 350)</f>
        <v>350</v>
      </c>
      <c r="AA216" s="223">
        <f t="shared" ref="AA216:AA247" si="363">1/((X216*1000*L)*(1/I216+1/J216))</f>
        <v>0.56337482818035733</v>
      </c>
      <c r="AB216" s="179">
        <f t="shared" ref="AB216:AB247" si="364">L*AA216/J216*1000000</f>
        <v>1.0919017288444037</v>
      </c>
      <c r="AC216" s="179">
        <f t="shared" ref="AC216:AC247" si="365">0.5*AB216*AA216*Nps*X216/1000</f>
        <v>0.10765124105357142</v>
      </c>
      <c r="AD216" s="179"/>
      <c r="AE216" s="179">
        <f t="shared" ref="AE216:AE247" si="366">L*Isw_min/J216*1000000</f>
        <v>0.56206185567010303</v>
      </c>
      <c r="AF216" s="563">
        <f t="shared" ref="AF216:AF247" si="367">MAX(10000,F216/(0.5*AE216/1000000*Isw_min*Nps))/1000</f>
        <v>10</v>
      </c>
      <c r="AG216" s="546">
        <f t="shared" ref="AG216:AG247" si="368">0.5*AE216/1000000*Isw_min*Nps*X216*1000</f>
        <v>2.8524639175257726E-2</v>
      </c>
      <c r="AI216" s="179">
        <f t="shared" ref="AI216:AI247" si="369">SQRT(F216/(0.5*L/J216*Fsw_DCM*Nps))</f>
        <v>5.4298510729827612E-5</v>
      </c>
      <c r="AJ216" s="179">
        <f t="shared" ref="AJ216:AJ247" si="370">MAX(IF(F216&gt;AC216,U216,AI216),Isw_min)</f>
        <v>0.28999999999999998</v>
      </c>
      <c r="AK216" s="179">
        <f t="shared" ref="AK216:AK247" si="371">IF(F216&gt;AG216, (AJ216-Isw_min)/1.08*0.8+1.2, AF216*0.2/350+1)</f>
        <v>1.0057142857142858</v>
      </c>
      <c r="AM216" s="563">
        <f t="shared" ref="AM216:AM247" si="372">F216*1000</f>
        <v>1.0000000000000002E-6</v>
      </c>
      <c r="AN216" s="472">
        <f t="shared" ref="AN216:AN247" si="373">IF(F216&gt;AG216, Y216, AF216)</f>
        <v>10</v>
      </c>
      <c r="AP216">
        <f t="shared" ref="AP216:AP247" si="374">IF(H216&gt;N216, "",AM216)</f>
        <v>1.0000000000000002E-6</v>
      </c>
      <c r="AQ216">
        <f t="shared" ref="AQ216:AQ247" si="375">IF(H216&gt;N216, "",AN216)</f>
        <v>10</v>
      </c>
      <c r="AS216" s="6">
        <f t="shared" si="334"/>
        <v>100</v>
      </c>
      <c r="AT216" s="6">
        <f t="shared" ref="AT216:AT247" si="376">L*AJ216/I216*1000000</f>
        <v>0.90866666666666662</v>
      </c>
      <c r="AU216" s="6">
        <f t="shared" si="280"/>
        <v>99.091333333333338</v>
      </c>
      <c r="AV216" s="6"/>
      <c r="AW216" s="179">
        <f t="shared" si="281"/>
        <v>9.0866666666666665E-3</v>
      </c>
      <c r="AX216" s="179"/>
      <c r="CD216" s="581">
        <f t="shared" ref="CD216:CD247" si="377">IF(ABS(F216-Ioutmax_Vinmax)&lt;Iout/200, AN216, -50)</f>
        <v>-50</v>
      </c>
      <c r="CE216">
        <f t="shared" ref="CE216:CE247" si="378">IF(ABS(F216-Ioutmax_Vinmin)&lt;Iout/200, N216*BZ216, -50)</f>
        <v>-50</v>
      </c>
    </row>
    <row r="217" spans="5:85" x14ac:dyDescent="0.2">
      <c r="E217" s="176">
        <v>1</v>
      </c>
      <c r="F217" s="223">
        <f t="shared" ref="F217:F248" si="379">IF(PLOT_TYPE=1, E217/100*Iout_max, min_I*EXP(N217*rr/100))</f>
        <v>1.1000000000000001E-3</v>
      </c>
      <c r="G217" s="223"/>
      <c r="H217" s="223">
        <f t="shared" si="348"/>
        <v>2.64E-2</v>
      </c>
      <c r="I217" s="559">
        <f t="shared" si="349"/>
        <v>15</v>
      </c>
      <c r="J217" s="454">
        <f t="shared" si="350"/>
        <v>24.25</v>
      </c>
      <c r="K217" s="454">
        <f t="shared" si="351"/>
        <v>39.25</v>
      </c>
      <c r="L217" s="454"/>
      <c r="M217" s="223">
        <f t="shared" si="352"/>
        <v>0.61783439490445857</v>
      </c>
      <c r="N217" s="178">
        <f t="shared" si="353"/>
        <v>6.3830015923566883</v>
      </c>
      <c r="O217" s="178">
        <f t="shared" si="333"/>
        <v>2.64E-2</v>
      </c>
      <c r="P217" s="223">
        <f t="shared" si="354"/>
        <v>0.26595839968152868</v>
      </c>
      <c r="Q217" s="223">
        <f t="shared" si="355"/>
        <v>24</v>
      </c>
      <c r="R217" s="223"/>
      <c r="S217" s="178">
        <f t="shared" si="356"/>
        <v>9377.0458544475205</v>
      </c>
      <c r="T217" s="178">
        <f t="shared" si="357"/>
        <v>24</v>
      </c>
      <c r="U217" s="223">
        <f t="shared" si="358"/>
        <v>5.9971785132935437E-3</v>
      </c>
      <c r="V217" s="223">
        <f t="shared" si="359"/>
        <v>1.8791159341653103E-2</v>
      </c>
      <c r="W217" s="223">
        <f t="shared" si="360"/>
        <v>1.1623397530919444E-2</v>
      </c>
      <c r="X217" s="203">
        <f t="shared" si="361"/>
        <v>350</v>
      </c>
      <c r="Y217" s="454">
        <f t="shared" si="362"/>
        <v>350</v>
      </c>
      <c r="AA217" s="223">
        <f t="shared" si="363"/>
        <v>0.56337482818035733</v>
      </c>
      <c r="AB217" s="179">
        <f t="shared" si="364"/>
        <v>1.0919017288444037</v>
      </c>
      <c r="AC217" s="179">
        <f t="shared" si="365"/>
        <v>0.10765124105357142</v>
      </c>
      <c r="AD217" s="179"/>
      <c r="AE217" s="179">
        <f t="shared" si="366"/>
        <v>0.56206185567010303</v>
      </c>
      <c r="AF217" s="563">
        <f t="shared" si="367"/>
        <v>13.497103245882565</v>
      </c>
      <c r="AG217" s="546">
        <f t="shared" si="368"/>
        <v>2.8524639175257726E-2</v>
      </c>
      <c r="AI217" s="179">
        <f t="shared" si="369"/>
        <v>5.6948758495905111E-2</v>
      </c>
      <c r="AJ217" s="179">
        <f t="shared" si="370"/>
        <v>0.28999999999999998</v>
      </c>
      <c r="AK217" s="179">
        <f t="shared" si="371"/>
        <v>1.0077126304262185</v>
      </c>
      <c r="AM217" s="563">
        <f t="shared" si="372"/>
        <v>1.1000000000000001</v>
      </c>
      <c r="AN217" s="472">
        <f t="shared" si="373"/>
        <v>13.497103245882565</v>
      </c>
      <c r="AP217">
        <f t="shared" si="374"/>
        <v>1.1000000000000001</v>
      </c>
      <c r="AQ217">
        <f t="shared" si="375"/>
        <v>13.497103245882565</v>
      </c>
      <c r="AS217" s="6">
        <f t="shared" si="334"/>
        <v>74.089971883786305</v>
      </c>
      <c r="AT217" s="6">
        <f t="shared" si="376"/>
        <v>0.90866666666666662</v>
      </c>
      <c r="AU217" s="6">
        <f t="shared" si="280"/>
        <v>73.181305217119643</v>
      </c>
      <c r="AV217" s="6"/>
      <c r="AW217" s="179">
        <f t="shared" si="281"/>
        <v>1.2264367816091956E-2</v>
      </c>
      <c r="AX217" s="179"/>
      <c r="CD217" s="581">
        <f t="shared" si="377"/>
        <v>-50</v>
      </c>
      <c r="CE217">
        <f t="shared" si="378"/>
        <v>-50</v>
      </c>
    </row>
    <row r="218" spans="5:85" x14ac:dyDescent="0.2">
      <c r="E218" s="176">
        <v>2</v>
      </c>
      <c r="F218" s="223">
        <f t="shared" si="379"/>
        <v>2.2000000000000001E-3</v>
      </c>
      <c r="G218" s="223"/>
      <c r="H218" s="223">
        <f t="shared" si="348"/>
        <v>5.28E-2</v>
      </c>
      <c r="I218" s="559">
        <f t="shared" si="349"/>
        <v>15</v>
      </c>
      <c r="J218" s="454">
        <f t="shared" si="350"/>
        <v>24.25</v>
      </c>
      <c r="K218" s="454">
        <f t="shared" si="351"/>
        <v>39.25</v>
      </c>
      <c r="L218" s="454"/>
      <c r="M218" s="223">
        <f t="shared" si="352"/>
        <v>0.61783439490445857</v>
      </c>
      <c r="N218" s="178">
        <f t="shared" si="353"/>
        <v>6.3830015923566883</v>
      </c>
      <c r="O218" s="178">
        <f t="shared" si="333"/>
        <v>5.28E-2</v>
      </c>
      <c r="P218" s="223">
        <f t="shared" si="354"/>
        <v>0.26595839968152868</v>
      </c>
      <c r="Q218" s="223">
        <f t="shared" si="355"/>
        <v>24</v>
      </c>
      <c r="R218" s="223"/>
      <c r="S218" s="178">
        <f t="shared" si="356"/>
        <v>4681.023528336792</v>
      </c>
      <c r="T218" s="178">
        <f t="shared" si="357"/>
        <v>24</v>
      </c>
      <c r="U218" s="223">
        <f t="shared" si="358"/>
        <v>1.1994357026587087E-2</v>
      </c>
      <c r="V218" s="223">
        <f t="shared" si="359"/>
        <v>3.7582318683306207E-2</v>
      </c>
      <c r="W218" s="223">
        <f t="shared" si="360"/>
        <v>2.3246795061838889E-2</v>
      </c>
      <c r="X218" s="203">
        <f t="shared" si="361"/>
        <v>350</v>
      </c>
      <c r="Y218" s="454">
        <f t="shared" si="362"/>
        <v>350</v>
      </c>
      <c r="AA218" s="223">
        <f t="shared" si="363"/>
        <v>0.56337482818035733</v>
      </c>
      <c r="AB218" s="179">
        <f t="shared" si="364"/>
        <v>1.0919017288444037</v>
      </c>
      <c r="AC218" s="179">
        <f t="shared" si="365"/>
        <v>0.10765124105357142</v>
      </c>
      <c r="AD218" s="179"/>
      <c r="AE218" s="179">
        <f t="shared" si="366"/>
        <v>0.56206185567010303</v>
      </c>
      <c r="AF218" s="563">
        <f t="shared" si="367"/>
        <v>26.99420649176513</v>
      </c>
      <c r="AG218" s="546">
        <f t="shared" si="368"/>
        <v>2.8524639175257726E-2</v>
      </c>
      <c r="AI218" s="179">
        <f t="shared" si="369"/>
        <v>8.053770662521903E-2</v>
      </c>
      <c r="AJ218" s="179">
        <f t="shared" si="370"/>
        <v>0.28999999999999998</v>
      </c>
      <c r="AK218" s="179">
        <f t="shared" si="371"/>
        <v>1.0154252608524372</v>
      </c>
      <c r="AM218" s="563">
        <f t="shared" si="372"/>
        <v>2.2000000000000002</v>
      </c>
      <c r="AN218" s="472">
        <f t="shared" si="373"/>
        <v>26.99420649176513</v>
      </c>
      <c r="AP218">
        <f t="shared" si="374"/>
        <v>2.2000000000000002</v>
      </c>
      <c r="AQ218">
        <f t="shared" si="375"/>
        <v>26.99420649176513</v>
      </c>
      <c r="AS218" s="6">
        <f t="shared" si="334"/>
        <v>37.044985941893152</v>
      </c>
      <c r="AT218" s="6">
        <f t="shared" si="376"/>
        <v>0.90866666666666662</v>
      </c>
      <c r="AU218" s="6">
        <f t="shared" si="280"/>
        <v>36.136319275226484</v>
      </c>
      <c r="AV218" s="6"/>
      <c r="AW218" s="179">
        <f t="shared" si="281"/>
        <v>2.4528735632183912E-2</v>
      </c>
      <c r="AX218" s="179"/>
      <c r="CD218" s="581">
        <f t="shared" si="377"/>
        <v>-50</v>
      </c>
      <c r="CE218">
        <f t="shared" si="378"/>
        <v>-50</v>
      </c>
    </row>
    <row r="219" spans="5:85" x14ac:dyDescent="0.2">
      <c r="E219" s="176">
        <v>3</v>
      </c>
      <c r="F219" s="223">
        <f t="shared" si="379"/>
        <v>3.3E-3</v>
      </c>
      <c r="G219" s="223"/>
      <c r="H219" s="223">
        <f t="shared" si="348"/>
        <v>7.9199999999999993E-2</v>
      </c>
      <c r="I219" s="559">
        <f t="shared" si="349"/>
        <v>15</v>
      </c>
      <c r="J219" s="454">
        <f t="shared" si="350"/>
        <v>24.25</v>
      </c>
      <c r="K219" s="454">
        <f t="shared" si="351"/>
        <v>39.25</v>
      </c>
      <c r="L219" s="454"/>
      <c r="M219" s="223">
        <f t="shared" si="352"/>
        <v>0.61783439490445857</v>
      </c>
      <c r="N219" s="178">
        <f t="shared" si="353"/>
        <v>6.3830015923566883</v>
      </c>
      <c r="O219" s="178">
        <f t="shared" si="333"/>
        <v>7.9199999999999993E-2</v>
      </c>
      <c r="P219" s="223">
        <f t="shared" si="354"/>
        <v>0.26595839968152868</v>
      </c>
      <c r="Q219" s="223">
        <f t="shared" si="355"/>
        <v>24</v>
      </c>
      <c r="R219" s="223"/>
      <c r="S219" s="178">
        <f t="shared" si="356"/>
        <v>3115.6830216736689</v>
      </c>
      <c r="T219" s="178">
        <f t="shared" si="357"/>
        <v>24</v>
      </c>
      <c r="U219" s="223">
        <f t="shared" si="358"/>
        <v>1.7991535539880629E-2</v>
      </c>
      <c r="V219" s="223">
        <f t="shared" si="359"/>
        <v>5.6373478024959303E-2</v>
      </c>
      <c r="W219" s="223">
        <f t="shared" si="360"/>
        <v>3.487019259275833E-2</v>
      </c>
      <c r="X219" s="203">
        <f t="shared" si="361"/>
        <v>350</v>
      </c>
      <c r="Y219" s="454">
        <f t="shared" si="362"/>
        <v>350</v>
      </c>
      <c r="AA219" s="223">
        <f t="shared" si="363"/>
        <v>0.56337482818035733</v>
      </c>
      <c r="AB219" s="179">
        <f t="shared" si="364"/>
        <v>1.0919017288444037</v>
      </c>
      <c r="AC219" s="179">
        <f t="shared" si="365"/>
        <v>0.10765124105357142</v>
      </c>
      <c r="AD219" s="179"/>
      <c r="AE219" s="179">
        <f t="shared" si="366"/>
        <v>0.56206185567010303</v>
      </c>
      <c r="AF219" s="563">
        <f t="shared" si="367"/>
        <v>40.491309737647697</v>
      </c>
      <c r="AG219" s="546">
        <f t="shared" si="368"/>
        <v>2.8524639175257726E-2</v>
      </c>
      <c r="AI219" s="179">
        <f t="shared" si="369"/>
        <v>9.8638143142877402E-2</v>
      </c>
      <c r="AJ219" s="179">
        <f t="shared" si="370"/>
        <v>0.28999999999999998</v>
      </c>
      <c r="AK219" s="179">
        <f t="shared" si="371"/>
        <v>1.0231378912786557</v>
      </c>
      <c r="AM219" s="563">
        <f t="shared" si="372"/>
        <v>3.3</v>
      </c>
      <c r="AN219" s="472">
        <f t="shared" si="373"/>
        <v>40.491309737647697</v>
      </c>
      <c r="AP219">
        <f t="shared" si="374"/>
        <v>3.3</v>
      </c>
      <c r="AQ219">
        <f t="shared" si="375"/>
        <v>40.491309737647697</v>
      </c>
      <c r="AS219" s="6">
        <f t="shared" si="334"/>
        <v>24.696657294595433</v>
      </c>
      <c r="AT219" s="6">
        <f t="shared" si="376"/>
        <v>0.90866666666666662</v>
      </c>
      <c r="AU219" s="6">
        <f t="shared" si="280"/>
        <v>23.787990627928767</v>
      </c>
      <c r="AV219" s="6"/>
      <c r="AW219" s="179">
        <f t="shared" si="281"/>
        <v>3.6793103448275868E-2</v>
      </c>
      <c r="AX219" s="179"/>
      <c r="CD219" s="581">
        <f t="shared" si="377"/>
        <v>-50</v>
      </c>
      <c r="CE219">
        <f t="shared" si="378"/>
        <v>-50</v>
      </c>
    </row>
    <row r="220" spans="5:85" x14ac:dyDescent="0.2">
      <c r="E220" s="176">
        <v>4</v>
      </c>
      <c r="F220" s="223">
        <f t="shared" si="379"/>
        <v>4.4000000000000003E-3</v>
      </c>
      <c r="G220" s="223"/>
      <c r="H220" s="223">
        <f t="shared" si="348"/>
        <v>0.1056</v>
      </c>
      <c r="I220" s="559">
        <f t="shared" si="349"/>
        <v>15</v>
      </c>
      <c r="J220" s="454">
        <f t="shared" si="350"/>
        <v>24.25</v>
      </c>
      <c r="K220" s="454">
        <f t="shared" si="351"/>
        <v>39.25</v>
      </c>
      <c r="L220" s="454"/>
      <c r="M220" s="223">
        <f t="shared" si="352"/>
        <v>0.61783439490445857</v>
      </c>
      <c r="N220" s="178">
        <f t="shared" si="353"/>
        <v>6.3830015923566883</v>
      </c>
      <c r="O220" s="178">
        <f t="shared" si="333"/>
        <v>0.1056</v>
      </c>
      <c r="P220" s="223">
        <f t="shared" si="354"/>
        <v>0.26595839968152868</v>
      </c>
      <c r="Q220" s="223">
        <f t="shared" si="355"/>
        <v>24</v>
      </c>
      <c r="R220" s="223"/>
      <c r="S220" s="178">
        <f t="shared" si="356"/>
        <v>2333.0129708276859</v>
      </c>
      <c r="T220" s="178">
        <f t="shared" si="357"/>
        <v>24</v>
      </c>
      <c r="U220" s="223">
        <f t="shared" si="358"/>
        <v>2.3988714053174175E-2</v>
      </c>
      <c r="V220" s="223">
        <f t="shared" si="359"/>
        <v>7.5164637366612413E-2</v>
      </c>
      <c r="W220" s="223">
        <f t="shared" si="360"/>
        <v>4.6493590123677778E-2</v>
      </c>
      <c r="X220" s="203">
        <f t="shared" si="361"/>
        <v>350</v>
      </c>
      <c r="Y220" s="454">
        <f t="shared" si="362"/>
        <v>350</v>
      </c>
      <c r="AA220" s="223">
        <f t="shared" si="363"/>
        <v>0.56337482818035733</v>
      </c>
      <c r="AB220" s="179">
        <f t="shared" si="364"/>
        <v>1.0919017288444037</v>
      </c>
      <c r="AC220" s="179">
        <f t="shared" si="365"/>
        <v>0.10765124105357142</v>
      </c>
      <c r="AD220" s="179"/>
      <c r="AE220" s="179">
        <f t="shared" si="366"/>
        <v>0.56206185567010303</v>
      </c>
      <c r="AF220" s="563">
        <f t="shared" si="367"/>
        <v>53.98841298353026</v>
      </c>
      <c r="AG220" s="546">
        <f t="shared" si="368"/>
        <v>2.8524639175257726E-2</v>
      </c>
      <c r="AI220" s="179">
        <f t="shared" si="369"/>
        <v>0.11389751699181022</v>
      </c>
      <c r="AJ220" s="179">
        <f t="shared" si="370"/>
        <v>0.28999999999999998</v>
      </c>
      <c r="AK220" s="179">
        <f t="shared" si="371"/>
        <v>1.0308505217048745</v>
      </c>
      <c r="AM220" s="563">
        <f t="shared" si="372"/>
        <v>4.4000000000000004</v>
      </c>
      <c r="AN220" s="472">
        <f t="shared" si="373"/>
        <v>53.98841298353026</v>
      </c>
      <c r="AP220">
        <f t="shared" si="374"/>
        <v>4.4000000000000004</v>
      </c>
      <c r="AQ220">
        <f t="shared" si="375"/>
        <v>53.98841298353026</v>
      </c>
      <c r="AS220" s="6">
        <f t="shared" si="334"/>
        <v>18.522492970946576</v>
      </c>
      <c r="AT220" s="6">
        <f t="shared" si="376"/>
        <v>0.90866666666666662</v>
      </c>
      <c r="AU220" s="6">
        <f t="shared" si="280"/>
        <v>17.613826304279911</v>
      </c>
      <c r="AV220" s="6"/>
      <c r="AW220" s="179">
        <f t="shared" si="281"/>
        <v>4.9057471264367825E-2</v>
      </c>
      <c r="AX220" s="179"/>
      <c r="CD220" s="581">
        <f t="shared" si="377"/>
        <v>-50</v>
      </c>
      <c r="CE220">
        <f t="shared" si="378"/>
        <v>-50</v>
      </c>
    </row>
    <row r="221" spans="5:85" x14ac:dyDescent="0.2">
      <c r="E221" s="176">
        <v>5</v>
      </c>
      <c r="F221" s="223">
        <f t="shared" si="379"/>
        <v>5.5000000000000005E-3</v>
      </c>
      <c r="G221" s="223"/>
      <c r="H221" s="223">
        <f t="shared" si="348"/>
        <v>0.13200000000000001</v>
      </c>
      <c r="I221" s="559">
        <f t="shared" si="349"/>
        <v>15</v>
      </c>
      <c r="J221" s="454">
        <f t="shared" si="350"/>
        <v>24.25</v>
      </c>
      <c r="K221" s="454">
        <f t="shared" si="351"/>
        <v>39.25</v>
      </c>
      <c r="L221" s="454"/>
      <c r="M221" s="223">
        <f t="shared" si="352"/>
        <v>0.61783439490445857</v>
      </c>
      <c r="N221" s="178">
        <f t="shared" si="353"/>
        <v>6.3830015923566883</v>
      </c>
      <c r="O221" s="178">
        <f t="shared" si="333"/>
        <v>0.13200000000000001</v>
      </c>
      <c r="P221" s="223">
        <f t="shared" si="354"/>
        <v>0.26595839968152868</v>
      </c>
      <c r="Q221" s="223">
        <f t="shared" si="355"/>
        <v>24</v>
      </c>
      <c r="R221" s="223"/>
      <c r="S221" s="178">
        <f t="shared" si="356"/>
        <v>1863.4111030775016</v>
      </c>
      <c r="T221" s="178">
        <f t="shared" si="357"/>
        <v>24</v>
      </c>
      <c r="U221" s="223">
        <f t="shared" si="358"/>
        <v>2.998589256646772E-2</v>
      </c>
      <c r="V221" s="223">
        <f t="shared" si="359"/>
        <v>9.395579670826551E-2</v>
      </c>
      <c r="W221" s="223">
        <f t="shared" si="360"/>
        <v>5.8116987654597226E-2</v>
      </c>
      <c r="X221" s="203">
        <f t="shared" si="361"/>
        <v>350</v>
      </c>
      <c r="Y221" s="454">
        <f t="shared" si="362"/>
        <v>350</v>
      </c>
      <c r="AA221" s="223">
        <f t="shared" si="363"/>
        <v>0.56337482818035733</v>
      </c>
      <c r="AB221" s="179">
        <f t="shared" si="364"/>
        <v>1.0919017288444037</v>
      </c>
      <c r="AC221" s="179">
        <f t="shared" si="365"/>
        <v>0.10765124105357142</v>
      </c>
      <c r="AD221" s="179"/>
      <c r="AE221" s="179">
        <f t="shared" si="366"/>
        <v>0.56206185567010303</v>
      </c>
      <c r="AF221" s="563">
        <f t="shared" si="367"/>
        <v>67.485516229412823</v>
      </c>
      <c r="AG221" s="546">
        <f t="shared" si="368"/>
        <v>2.8524639175257726E-2</v>
      </c>
      <c r="AI221" s="179">
        <f t="shared" si="369"/>
        <v>0.12734129523106252</v>
      </c>
      <c r="AJ221" s="179">
        <f t="shared" si="370"/>
        <v>0.28999999999999998</v>
      </c>
      <c r="AK221" s="179">
        <f t="shared" si="371"/>
        <v>1.038563152131093</v>
      </c>
      <c r="AM221" s="563">
        <f t="shared" si="372"/>
        <v>5.5000000000000009</v>
      </c>
      <c r="AN221" s="472">
        <f t="shared" si="373"/>
        <v>67.485516229412823</v>
      </c>
      <c r="AP221">
        <f t="shared" si="374"/>
        <v>5.5000000000000009</v>
      </c>
      <c r="AQ221">
        <f t="shared" si="375"/>
        <v>67.485516229412823</v>
      </c>
      <c r="AS221" s="6">
        <f t="shared" si="334"/>
        <v>14.817994376757261</v>
      </c>
      <c r="AT221" s="6">
        <f t="shared" si="376"/>
        <v>0.90866666666666662</v>
      </c>
      <c r="AU221" s="6">
        <f t="shared" si="280"/>
        <v>13.909327710090594</v>
      </c>
      <c r="AV221" s="6"/>
      <c r="AW221" s="179">
        <f t="shared" si="281"/>
        <v>6.1321839080459781E-2</v>
      </c>
      <c r="AX221" s="179"/>
      <c r="CD221" s="581">
        <f t="shared" si="377"/>
        <v>-50</v>
      </c>
      <c r="CE221">
        <f t="shared" si="378"/>
        <v>-50</v>
      </c>
    </row>
    <row r="222" spans="5:85" x14ac:dyDescent="0.2">
      <c r="E222" s="176">
        <v>6</v>
      </c>
      <c r="F222" s="223">
        <f t="shared" si="379"/>
        <v>6.6E-3</v>
      </c>
      <c r="G222" s="223"/>
      <c r="H222" s="223">
        <f t="shared" si="348"/>
        <v>0.15839999999999999</v>
      </c>
      <c r="I222" s="559">
        <f t="shared" si="349"/>
        <v>15</v>
      </c>
      <c r="J222" s="454">
        <f t="shared" si="350"/>
        <v>24.25</v>
      </c>
      <c r="K222" s="454">
        <f t="shared" si="351"/>
        <v>39.25</v>
      </c>
      <c r="L222" s="454"/>
      <c r="M222" s="223">
        <f t="shared" si="352"/>
        <v>0.61783439490445857</v>
      </c>
      <c r="N222" s="178">
        <f t="shared" si="353"/>
        <v>6.3830015923566883</v>
      </c>
      <c r="O222" s="178">
        <f t="shared" si="333"/>
        <v>0.15839999999999999</v>
      </c>
      <c r="P222" s="223">
        <f t="shared" si="354"/>
        <v>0.26595839968152868</v>
      </c>
      <c r="Q222" s="223">
        <f t="shared" si="355"/>
        <v>24</v>
      </c>
      <c r="R222" s="223"/>
      <c r="S222" s="178">
        <f t="shared" si="356"/>
        <v>1550.3433275199927</v>
      </c>
      <c r="T222" s="178">
        <f t="shared" si="357"/>
        <v>24</v>
      </c>
      <c r="U222" s="223">
        <f t="shared" si="358"/>
        <v>3.5983071079761259E-2</v>
      </c>
      <c r="V222" s="223">
        <f t="shared" si="359"/>
        <v>0.11274695604991861</v>
      </c>
      <c r="W222" s="223">
        <f t="shared" si="360"/>
        <v>6.974038518551666E-2</v>
      </c>
      <c r="X222" s="203">
        <f t="shared" si="361"/>
        <v>350</v>
      </c>
      <c r="Y222" s="454">
        <f t="shared" si="362"/>
        <v>350</v>
      </c>
      <c r="AA222" s="223">
        <f t="shared" si="363"/>
        <v>0.56337482818035733</v>
      </c>
      <c r="AB222" s="179">
        <f t="shared" si="364"/>
        <v>1.0919017288444037</v>
      </c>
      <c r="AC222" s="179">
        <f t="shared" si="365"/>
        <v>0.10765124105357142</v>
      </c>
      <c r="AD222" s="179"/>
      <c r="AE222" s="179">
        <f t="shared" si="366"/>
        <v>0.56206185567010303</v>
      </c>
      <c r="AF222" s="563">
        <f t="shared" si="367"/>
        <v>80.982619475295394</v>
      </c>
      <c r="AG222" s="546">
        <f t="shared" si="368"/>
        <v>2.8524639175257726E-2</v>
      </c>
      <c r="AI222" s="179">
        <f t="shared" si="369"/>
        <v>0.13949539979995593</v>
      </c>
      <c r="AJ222" s="179">
        <f t="shared" si="370"/>
        <v>0.28999999999999998</v>
      </c>
      <c r="AK222" s="179">
        <f t="shared" si="371"/>
        <v>1.0462757825573117</v>
      </c>
      <c r="AM222" s="563">
        <f t="shared" si="372"/>
        <v>6.6</v>
      </c>
      <c r="AN222" s="472">
        <f t="shared" si="373"/>
        <v>80.982619475295394</v>
      </c>
      <c r="AP222">
        <f t="shared" si="374"/>
        <v>6.6</v>
      </c>
      <c r="AQ222">
        <f t="shared" si="375"/>
        <v>80.982619475295394</v>
      </c>
      <c r="AS222" s="6">
        <f t="shared" si="334"/>
        <v>12.348328647297716</v>
      </c>
      <c r="AT222" s="6">
        <f t="shared" si="376"/>
        <v>0.90866666666666662</v>
      </c>
      <c r="AU222" s="6">
        <f t="shared" si="280"/>
        <v>11.439661980631049</v>
      </c>
      <c r="AV222" s="6"/>
      <c r="AW222" s="179">
        <f t="shared" si="281"/>
        <v>7.3586206896551737E-2</v>
      </c>
      <c r="AX222" s="179"/>
      <c r="CD222" s="581">
        <f t="shared" si="377"/>
        <v>-50</v>
      </c>
      <c r="CE222">
        <f t="shared" si="378"/>
        <v>-50</v>
      </c>
    </row>
    <row r="223" spans="5:85" x14ac:dyDescent="0.2">
      <c r="E223" s="176">
        <v>7</v>
      </c>
      <c r="F223" s="223">
        <f t="shared" si="379"/>
        <v>7.7000000000000011E-3</v>
      </c>
      <c r="G223" s="223"/>
      <c r="H223" s="223">
        <f t="shared" si="348"/>
        <v>0.18480000000000002</v>
      </c>
      <c r="I223" s="559">
        <f t="shared" si="349"/>
        <v>15</v>
      </c>
      <c r="J223" s="454">
        <f t="shared" si="350"/>
        <v>24.25</v>
      </c>
      <c r="K223" s="454">
        <f t="shared" si="351"/>
        <v>39.25</v>
      </c>
      <c r="L223" s="454"/>
      <c r="M223" s="223">
        <f t="shared" si="352"/>
        <v>0.61783439490445857</v>
      </c>
      <c r="N223" s="178">
        <f t="shared" si="353"/>
        <v>6.3830015923566883</v>
      </c>
      <c r="O223" s="178">
        <f t="shared" si="333"/>
        <v>0.18480000000000002</v>
      </c>
      <c r="P223" s="223">
        <f t="shared" si="354"/>
        <v>0.26595839968152868</v>
      </c>
      <c r="Q223" s="223">
        <f t="shared" si="355"/>
        <v>24</v>
      </c>
      <c r="R223" s="223"/>
      <c r="S223" s="178">
        <f t="shared" si="356"/>
        <v>1326.7236052001242</v>
      </c>
      <c r="T223" s="178">
        <f t="shared" si="357"/>
        <v>24</v>
      </c>
      <c r="U223" s="223">
        <f t="shared" si="358"/>
        <v>4.1980249593054811E-2</v>
      </c>
      <c r="V223" s="223">
        <f t="shared" si="359"/>
        <v>0.13153811539157173</v>
      </c>
      <c r="W223" s="223">
        <f t="shared" si="360"/>
        <v>8.1363782716436128E-2</v>
      </c>
      <c r="X223" s="203">
        <f t="shared" si="361"/>
        <v>350</v>
      </c>
      <c r="Y223" s="454">
        <f t="shared" si="362"/>
        <v>350</v>
      </c>
      <c r="AA223" s="223">
        <f t="shared" si="363"/>
        <v>0.56337482818035733</v>
      </c>
      <c r="AB223" s="179">
        <f t="shared" si="364"/>
        <v>1.0919017288444037</v>
      </c>
      <c r="AC223" s="179">
        <f t="shared" si="365"/>
        <v>0.10765124105357142</v>
      </c>
      <c r="AD223" s="179"/>
      <c r="AE223" s="179">
        <f t="shared" si="366"/>
        <v>0.56206185567010303</v>
      </c>
      <c r="AF223" s="563">
        <f t="shared" si="367"/>
        <v>94.479722721177964</v>
      </c>
      <c r="AG223" s="546">
        <f t="shared" si="368"/>
        <v>2.8524639175257726E-2</v>
      </c>
      <c r="AI223" s="179">
        <f t="shared" si="369"/>
        <v>0.1506722524540417</v>
      </c>
      <c r="AJ223" s="179">
        <f t="shared" si="370"/>
        <v>0.28999999999999998</v>
      </c>
      <c r="AK223" s="179">
        <f t="shared" si="371"/>
        <v>1.0539884129835302</v>
      </c>
      <c r="AM223" s="563">
        <f t="shared" si="372"/>
        <v>7.7000000000000011</v>
      </c>
      <c r="AN223" s="472">
        <f t="shared" si="373"/>
        <v>94.479722721177964</v>
      </c>
      <c r="AP223">
        <f t="shared" si="374"/>
        <v>7.7000000000000011</v>
      </c>
      <c r="AQ223">
        <f t="shared" si="375"/>
        <v>94.479722721177964</v>
      </c>
      <c r="AS223" s="6">
        <f t="shared" si="334"/>
        <v>10.584281697683755</v>
      </c>
      <c r="AT223" s="6">
        <f t="shared" si="376"/>
        <v>0.90866666666666662</v>
      </c>
      <c r="AU223" s="6">
        <f t="shared" si="280"/>
        <v>9.6756150310170881</v>
      </c>
      <c r="AV223" s="6"/>
      <c r="AW223" s="179">
        <f t="shared" si="281"/>
        <v>8.5850574712643707E-2</v>
      </c>
      <c r="AX223" s="179"/>
      <c r="CD223" s="581">
        <f t="shared" si="377"/>
        <v>-50</v>
      </c>
      <c r="CE223">
        <f t="shared" si="378"/>
        <v>-50</v>
      </c>
    </row>
    <row r="224" spans="5:85" x14ac:dyDescent="0.2">
      <c r="E224" s="176">
        <v>8</v>
      </c>
      <c r="F224" s="223">
        <f t="shared" si="379"/>
        <v>8.8000000000000005E-3</v>
      </c>
      <c r="G224" s="223"/>
      <c r="H224" s="223">
        <f t="shared" si="348"/>
        <v>0.2112</v>
      </c>
      <c r="I224" s="559">
        <f t="shared" si="349"/>
        <v>15</v>
      </c>
      <c r="J224" s="454">
        <f t="shared" si="350"/>
        <v>24.25</v>
      </c>
      <c r="K224" s="454">
        <f t="shared" si="351"/>
        <v>39.25</v>
      </c>
      <c r="L224" s="454"/>
      <c r="M224" s="223">
        <f t="shared" si="352"/>
        <v>0.61783439490445857</v>
      </c>
      <c r="N224" s="178">
        <f t="shared" si="353"/>
        <v>6.3830015923566883</v>
      </c>
      <c r="O224" s="178">
        <f t="shared" si="333"/>
        <v>0.2112</v>
      </c>
      <c r="P224" s="223">
        <f t="shared" si="354"/>
        <v>0.26595839968152868</v>
      </c>
      <c r="Q224" s="223">
        <f t="shared" si="355"/>
        <v>24</v>
      </c>
      <c r="R224" s="223"/>
      <c r="S224" s="178">
        <f t="shared" si="356"/>
        <v>1159.0089166434188</v>
      </c>
      <c r="T224" s="178">
        <f t="shared" si="357"/>
        <v>24</v>
      </c>
      <c r="U224" s="223">
        <f t="shared" si="358"/>
        <v>4.7977428106348349E-2</v>
      </c>
      <c r="V224" s="223">
        <f t="shared" si="359"/>
        <v>0.15032927473322483</v>
      </c>
      <c r="W224" s="223">
        <f t="shared" si="360"/>
        <v>9.2987180247355555E-2</v>
      </c>
      <c r="X224" s="203">
        <f t="shared" si="361"/>
        <v>350</v>
      </c>
      <c r="Y224" s="454">
        <f t="shared" si="362"/>
        <v>350</v>
      </c>
      <c r="AA224" s="223">
        <f t="shared" si="363"/>
        <v>0.56337482818035733</v>
      </c>
      <c r="AB224" s="179">
        <f t="shared" si="364"/>
        <v>1.0919017288444037</v>
      </c>
      <c r="AC224" s="179">
        <f t="shared" si="365"/>
        <v>0.10765124105357142</v>
      </c>
      <c r="AD224" s="179"/>
      <c r="AE224" s="179">
        <f t="shared" si="366"/>
        <v>0.56206185567010303</v>
      </c>
      <c r="AF224" s="563">
        <f t="shared" si="367"/>
        <v>107.97682596706052</v>
      </c>
      <c r="AG224" s="546">
        <f t="shared" si="368"/>
        <v>2.8524639175257726E-2</v>
      </c>
      <c r="AI224" s="179">
        <f t="shared" si="369"/>
        <v>0.16107541325043806</v>
      </c>
      <c r="AJ224" s="179">
        <f t="shared" si="370"/>
        <v>0.28999999999999998</v>
      </c>
      <c r="AK224" s="179">
        <f t="shared" si="371"/>
        <v>1.0617010434097489</v>
      </c>
      <c r="AM224" s="563">
        <f t="shared" si="372"/>
        <v>8.8000000000000007</v>
      </c>
      <c r="AN224" s="472">
        <f t="shared" si="373"/>
        <v>107.97682596706052</v>
      </c>
      <c r="AP224">
        <f t="shared" si="374"/>
        <v>8.8000000000000007</v>
      </c>
      <c r="AQ224">
        <f t="shared" si="375"/>
        <v>107.97682596706052</v>
      </c>
      <c r="AS224" s="6">
        <f t="shared" si="334"/>
        <v>9.2612464854732881</v>
      </c>
      <c r="AT224" s="6">
        <f t="shared" si="376"/>
        <v>0.90866666666666662</v>
      </c>
      <c r="AU224" s="6">
        <f t="shared" si="280"/>
        <v>8.3525798188066211</v>
      </c>
      <c r="AV224" s="6"/>
      <c r="AW224" s="179">
        <f t="shared" si="281"/>
        <v>9.8114942528735649E-2</v>
      </c>
      <c r="AX224" s="179"/>
      <c r="CD224" s="581">
        <f t="shared" si="377"/>
        <v>-50</v>
      </c>
      <c r="CE224">
        <f t="shared" si="378"/>
        <v>-50</v>
      </c>
    </row>
    <row r="225" spans="5:83" x14ac:dyDescent="0.2">
      <c r="E225" s="176">
        <v>9</v>
      </c>
      <c r="F225" s="223">
        <f t="shared" si="379"/>
        <v>9.8999999999999991E-3</v>
      </c>
      <c r="G225" s="223"/>
      <c r="H225" s="223">
        <f t="shared" si="348"/>
        <v>0.23759999999999998</v>
      </c>
      <c r="I225" s="559">
        <f t="shared" si="349"/>
        <v>15</v>
      </c>
      <c r="J225" s="454">
        <f t="shared" si="350"/>
        <v>24.25</v>
      </c>
      <c r="K225" s="454">
        <f t="shared" si="351"/>
        <v>39.25</v>
      </c>
      <c r="L225" s="454"/>
      <c r="M225" s="223">
        <f t="shared" si="352"/>
        <v>0.61783439490445857</v>
      </c>
      <c r="N225" s="178">
        <f t="shared" si="353"/>
        <v>6.3830015923566883</v>
      </c>
      <c r="O225" s="178">
        <f t="shared" si="333"/>
        <v>0.23759999999999998</v>
      </c>
      <c r="P225" s="223">
        <f t="shared" si="354"/>
        <v>0.26595839968152868</v>
      </c>
      <c r="Q225" s="223">
        <f t="shared" si="355"/>
        <v>24</v>
      </c>
      <c r="R225" s="223"/>
      <c r="S225" s="178">
        <f t="shared" si="356"/>
        <v>1028.5642510334437</v>
      </c>
      <c r="T225" s="178">
        <f t="shared" si="357"/>
        <v>24</v>
      </c>
      <c r="U225" s="223">
        <f t="shared" si="358"/>
        <v>5.3974606619641888E-2</v>
      </c>
      <c r="V225" s="223">
        <f t="shared" si="359"/>
        <v>0.1691204340748779</v>
      </c>
      <c r="W225" s="223">
        <f t="shared" si="360"/>
        <v>0.10461057777827501</v>
      </c>
      <c r="X225" s="203">
        <f t="shared" si="361"/>
        <v>350</v>
      </c>
      <c r="Y225" s="454">
        <f t="shared" si="362"/>
        <v>350</v>
      </c>
      <c r="AA225" s="223">
        <f t="shared" si="363"/>
        <v>0.56337482818035733</v>
      </c>
      <c r="AB225" s="179">
        <f t="shared" si="364"/>
        <v>1.0919017288444037</v>
      </c>
      <c r="AC225" s="179">
        <f t="shared" si="365"/>
        <v>0.10765124105357142</v>
      </c>
      <c r="AD225" s="179"/>
      <c r="AE225" s="179">
        <f t="shared" si="366"/>
        <v>0.56206185567010303</v>
      </c>
      <c r="AF225" s="563">
        <f t="shared" si="367"/>
        <v>121.47392921294306</v>
      </c>
      <c r="AG225" s="546">
        <f t="shared" si="368"/>
        <v>2.8524639175257726E-2</v>
      </c>
      <c r="AI225" s="179">
        <f t="shared" si="369"/>
        <v>0.1708462754877153</v>
      </c>
      <c r="AJ225" s="179">
        <f t="shared" si="370"/>
        <v>0.28999999999999998</v>
      </c>
      <c r="AK225" s="179">
        <f t="shared" si="371"/>
        <v>1.0694136738359674</v>
      </c>
      <c r="AM225" s="563">
        <f t="shared" si="372"/>
        <v>9.8999999999999986</v>
      </c>
      <c r="AN225" s="472">
        <f t="shared" si="373"/>
        <v>121.47392921294306</v>
      </c>
      <c r="AP225">
        <f t="shared" si="374"/>
        <v>9.8999999999999986</v>
      </c>
      <c r="AQ225">
        <f t="shared" si="375"/>
        <v>121.47392921294306</v>
      </c>
      <c r="AS225" s="6">
        <f t="shared" si="334"/>
        <v>8.2322190981984793</v>
      </c>
      <c r="AT225" s="6">
        <f t="shared" si="376"/>
        <v>0.90866666666666662</v>
      </c>
      <c r="AU225" s="6">
        <f t="shared" si="280"/>
        <v>7.3235524315318123</v>
      </c>
      <c r="AV225" s="6"/>
      <c r="AW225" s="179">
        <f t="shared" si="281"/>
        <v>0.11037931034482759</v>
      </c>
      <c r="AX225" s="179"/>
      <c r="CD225" s="581">
        <f t="shared" si="377"/>
        <v>-50</v>
      </c>
      <c r="CE225">
        <f t="shared" si="378"/>
        <v>-50</v>
      </c>
    </row>
    <row r="226" spans="5:83" x14ac:dyDescent="0.2">
      <c r="E226" s="176">
        <v>10</v>
      </c>
      <c r="F226" s="223">
        <f t="shared" si="379"/>
        <v>1.1000000000000001E-2</v>
      </c>
      <c r="G226" s="223"/>
      <c r="H226" s="223">
        <f t="shared" si="348"/>
        <v>0.26400000000000001</v>
      </c>
      <c r="I226" s="559">
        <f t="shared" si="349"/>
        <v>15</v>
      </c>
      <c r="J226" s="454">
        <f t="shared" si="350"/>
        <v>24.25</v>
      </c>
      <c r="K226" s="454">
        <f t="shared" si="351"/>
        <v>39.25</v>
      </c>
      <c r="L226" s="454"/>
      <c r="M226" s="223">
        <f t="shared" si="352"/>
        <v>0.61783439490445857</v>
      </c>
      <c r="N226" s="178">
        <f t="shared" si="353"/>
        <v>6.3830015923566883</v>
      </c>
      <c r="O226" s="178">
        <f t="shared" si="333"/>
        <v>0.26400000000000001</v>
      </c>
      <c r="P226" s="223">
        <f t="shared" si="354"/>
        <v>0.26595839968152868</v>
      </c>
      <c r="Q226" s="223">
        <f t="shared" si="355"/>
        <v>24</v>
      </c>
      <c r="R226" s="223"/>
      <c r="S226" s="178">
        <f t="shared" si="356"/>
        <v>924.20860188280744</v>
      </c>
      <c r="T226" s="178">
        <f t="shared" si="357"/>
        <v>24</v>
      </c>
      <c r="U226" s="223">
        <f t="shared" si="358"/>
        <v>5.997178513293544E-2</v>
      </c>
      <c r="V226" s="223">
        <f t="shared" si="359"/>
        <v>0.18791159341653102</v>
      </c>
      <c r="W226" s="223">
        <f t="shared" si="360"/>
        <v>0.11623397530919445</v>
      </c>
      <c r="X226" s="203">
        <f t="shared" si="361"/>
        <v>350</v>
      </c>
      <c r="Y226" s="454">
        <f t="shared" si="362"/>
        <v>350</v>
      </c>
      <c r="AA226" s="223">
        <f t="shared" si="363"/>
        <v>0.56337482818035733</v>
      </c>
      <c r="AB226" s="179">
        <f t="shared" si="364"/>
        <v>1.0919017288444037</v>
      </c>
      <c r="AC226" s="179">
        <f t="shared" si="365"/>
        <v>0.10765124105357142</v>
      </c>
      <c r="AD226" s="179"/>
      <c r="AE226" s="179">
        <f t="shared" si="366"/>
        <v>0.56206185567010303</v>
      </c>
      <c r="AF226" s="563">
        <f t="shared" si="367"/>
        <v>134.97103245882565</v>
      </c>
      <c r="AG226" s="546">
        <f t="shared" si="368"/>
        <v>2.8524639175257726E-2</v>
      </c>
      <c r="AI226" s="179">
        <f t="shared" si="369"/>
        <v>0.18008778676592493</v>
      </c>
      <c r="AJ226" s="179">
        <f t="shared" si="370"/>
        <v>0.28999999999999998</v>
      </c>
      <c r="AK226" s="179">
        <f t="shared" si="371"/>
        <v>1.0771263042621861</v>
      </c>
      <c r="AM226" s="563">
        <f t="shared" si="372"/>
        <v>11.000000000000002</v>
      </c>
      <c r="AN226" s="472">
        <f t="shared" si="373"/>
        <v>134.97103245882565</v>
      </c>
      <c r="AP226">
        <f t="shared" si="374"/>
        <v>11.000000000000002</v>
      </c>
      <c r="AQ226">
        <f t="shared" si="375"/>
        <v>134.97103245882565</v>
      </c>
      <c r="AS226" s="6">
        <f t="shared" si="334"/>
        <v>7.4089971883786303</v>
      </c>
      <c r="AT226" s="6">
        <f t="shared" si="376"/>
        <v>0.90866666666666662</v>
      </c>
      <c r="AU226" s="6">
        <f t="shared" si="280"/>
        <v>6.5003305217119633</v>
      </c>
      <c r="AV226" s="6"/>
      <c r="AW226" s="179">
        <f t="shared" si="281"/>
        <v>0.12264367816091956</v>
      </c>
      <c r="AX226" s="179"/>
      <c r="CD226" s="581">
        <f t="shared" si="377"/>
        <v>-50</v>
      </c>
      <c r="CE226">
        <f t="shared" si="378"/>
        <v>-50</v>
      </c>
    </row>
    <row r="227" spans="5:83" x14ac:dyDescent="0.2">
      <c r="E227" s="176">
        <v>11</v>
      </c>
      <c r="F227" s="223">
        <f t="shared" si="379"/>
        <v>1.21E-2</v>
      </c>
      <c r="G227" s="223"/>
      <c r="H227" s="223">
        <f t="shared" si="348"/>
        <v>0.29039999999999999</v>
      </c>
      <c r="I227" s="559">
        <f t="shared" si="349"/>
        <v>15</v>
      </c>
      <c r="J227" s="454">
        <f t="shared" si="350"/>
        <v>24.25</v>
      </c>
      <c r="K227" s="454">
        <f t="shared" si="351"/>
        <v>39.25</v>
      </c>
      <c r="L227" s="454"/>
      <c r="M227" s="223">
        <f t="shared" si="352"/>
        <v>0.61783439490445857</v>
      </c>
      <c r="N227" s="178">
        <f t="shared" si="353"/>
        <v>6.3830015923566883</v>
      </c>
      <c r="O227" s="178">
        <f t="shared" si="333"/>
        <v>0.29039999999999999</v>
      </c>
      <c r="P227" s="223">
        <f t="shared" si="354"/>
        <v>0.26595839968152868</v>
      </c>
      <c r="Q227" s="223">
        <f t="shared" si="355"/>
        <v>24</v>
      </c>
      <c r="R227" s="223"/>
      <c r="S227" s="178">
        <f t="shared" si="356"/>
        <v>838.82678324725111</v>
      </c>
      <c r="T227" s="178">
        <f t="shared" si="357"/>
        <v>24</v>
      </c>
      <c r="U227" s="223">
        <f t="shared" si="358"/>
        <v>6.5968963646228979E-2</v>
      </c>
      <c r="V227" s="223">
        <f t="shared" si="359"/>
        <v>0.20670275275818414</v>
      </c>
      <c r="W227" s="223">
        <f t="shared" si="360"/>
        <v>0.12785737284011392</v>
      </c>
      <c r="X227" s="203">
        <f t="shared" si="361"/>
        <v>350</v>
      </c>
      <c r="Y227" s="454">
        <f t="shared" si="362"/>
        <v>350</v>
      </c>
      <c r="AA227" s="223">
        <f t="shared" si="363"/>
        <v>0.56337482818035733</v>
      </c>
      <c r="AB227" s="179">
        <f t="shared" si="364"/>
        <v>1.0919017288444037</v>
      </c>
      <c r="AC227" s="179">
        <f t="shared" si="365"/>
        <v>0.10765124105357142</v>
      </c>
      <c r="AD227" s="179"/>
      <c r="AE227" s="179">
        <f t="shared" si="366"/>
        <v>0.56206185567010303</v>
      </c>
      <c r="AF227" s="563">
        <f t="shared" si="367"/>
        <v>148.4681357047082</v>
      </c>
      <c r="AG227" s="546">
        <f t="shared" si="368"/>
        <v>2.8524639175257726E-2</v>
      </c>
      <c r="AI227" s="179">
        <f t="shared" si="369"/>
        <v>0.18887766420748156</v>
      </c>
      <c r="AJ227" s="179">
        <f t="shared" si="370"/>
        <v>0.28999999999999998</v>
      </c>
      <c r="AK227" s="179">
        <f t="shared" si="371"/>
        <v>1.0848389346884046</v>
      </c>
      <c r="AM227" s="563">
        <f t="shared" si="372"/>
        <v>12.1</v>
      </c>
      <c r="AN227" s="472">
        <f t="shared" si="373"/>
        <v>148.4681357047082</v>
      </c>
      <c r="AP227">
        <f t="shared" si="374"/>
        <v>12.1</v>
      </c>
      <c r="AQ227">
        <f t="shared" si="375"/>
        <v>148.4681357047082</v>
      </c>
      <c r="AS227" s="6">
        <f t="shared" si="334"/>
        <v>6.7354519894351181</v>
      </c>
      <c r="AT227" s="6">
        <f t="shared" si="376"/>
        <v>0.90866666666666662</v>
      </c>
      <c r="AU227" s="6">
        <f t="shared" si="280"/>
        <v>5.8267853227684512</v>
      </c>
      <c r="AV227" s="6"/>
      <c r="AW227" s="179">
        <f t="shared" si="281"/>
        <v>0.13490804597701153</v>
      </c>
      <c r="AX227" s="179"/>
      <c r="CD227" s="581">
        <f t="shared" si="377"/>
        <v>-50</v>
      </c>
      <c r="CE227">
        <f t="shared" si="378"/>
        <v>-50</v>
      </c>
    </row>
    <row r="228" spans="5:83" x14ac:dyDescent="0.2">
      <c r="E228" s="176">
        <v>12</v>
      </c>
      <c r="F228" s="223">
        <f t="shared" si="379"/>
        <v>1.32E-2</v>
      </c>
      <c r="G228" s="223"/>
      <c r="H228" s="223">
        <f t="shared" si="348"/>
        <v>0.31679999999999997</v>
      </c>
      <c r="I228" s="559">
        <f t="shared" si="349"/>
        <v>15</v>
      </c>
      <c r="J228" s="454">
        <f t="shared" si="350"/>
        <v>24.25</v>
      </c>
      <c r="K228" s="454">
        <f t="shared" si="351"/>
        <v>39.25</v>
      </c>
      <c r="L228" s="454"/>
      <c r="M228" s="223">
        <f t="shared" si="352"/>
        <v>0.61783439490445857</v>
      </c>
      <c r="N228" s="178">
        <f t="shared" si="353"/>
        <v>6.3830015923566883</v>
      </c>
      <c r="O228" s="178">
        <f t="shared" si="333"/>
        <v>0.31679999999999997</v>
      </c>
      <c r="P228" s="223">
        <f t="shared" si="354"/>
        <v>0.26595839968152868</v>
      </c>
      <c r="Q228" s="223">
        <f t="shared" si="355"/>
        <v>24</v>
      </c>
      <c r="R228" s="223"/>
      <c r="S228" s="178">
        <f t="shared" si="356"/>
        <v>767.67533783269005</v>
      </c>
      <c r="T228" s="178">
        <f t="shared" si="357"/>
        <v>24</v>
      </c>
      <c r="U228" s="223">
        <f t="shared" si="358"/>
        <v>7.1966142159522517E-2</v>
      </c>
      <c r="V228" s="223">
        <f t="shared" si="359"/>
        <v>0.22549391209983721</v>
      </c>
      <c r="W228" s="223">
        <f t="shared" si="360"/>
        <v>0.13948077037103332</v>
      </c>
      <c r="X228" s="203">
        <f t="shared" si="361"/>
        <v>350</v>
      </c>
      <c r="Y228" s="454">
        <f t="shared" si="362"/>
        <v>350</v>
      </c>
      <c r="AA228" s="223">
        <f t="shared" si="363"/>
        <v>0.56337482818035733</v>
      </c>
      <c r="AB228" s="179">
        <f t="shared" si="364"/>
        <v>1.0919017288444037</v>
      </c>
      <c r="AC228" s="179">
        <f t="shared" si="365"/>
        <v>0.10765124105357142</v>
      </c>
      <c r="AD228" s="179"/>
      <c r="AE228" s="179">
        <f t="shared" si="366"/>
        <v>0.56206185567010303</v>
      </c>
      <c r="AF228" s="563">
        <f t="shared" si="367"/>
        <v>161.96523895059079</v>
      </c>
      <c r="AG228" s="546">
        <f t="shared" si="368"/>
        <v>2.8524639175257726E-2</v>
      </c>
      <c r="AI228" s="179">
        <f t="shared" si="369"/>
        <v>0.1972762862857548</v>
      </c>
      <c r="AJ228" s="179">
        <f t="shared" si="370"/>
        <v>0.28999999999999998</v>
      </c>
      <c r="AK228" s="179">
        <f t="shared" si="371"/>
        <v>1.0925515651146234</v>
      </c>
      <c r="AM228" s="563">
        <f t="shared" si="372"/>
        <v>13.2</v>
      </c>
      <c r="AN228" s="472">
        <f t="shared" si="373"/>
        <v>161.96523895059079</v>
      </c>
      <c r="AP228">
        <f t="shared" si="374"/>
        <v>13.2</v>
      </c>
      <c r="AQ228">
        <f t="shared" si="375"/>
        <v>161.96523895059079</v>
      </c>
      <c r="AS228" s="6">
        <f t="shared" si="334"/>
        <v>6.1741643236488581</v>
      </c>
      <c r="AT228" s="6">
        <f t="shared" si="376"/>
        <v>0.90866666666666662</v>
      </c>
      <c r="AU228" s="6">
        <f t="shared" si="280"/>
        <v>5.2654976569821912</v>
      </c>
      <c r="AV228" s="6"/>
      <c r="AW228" s="179">
        <f t="shared" si="281"/>
        <v>0.14717241379310347</v>
      </c>
      <c r="AX228" s="179"/>
      <c r="CD228" s="581">
        <f t="shared" si="377"/>
        <v>-50</v>
      </c>
      <c r="CE228">
        <f t="shared" si="378"/>
        <v>-50</v>
      </c>
    </row>
    <row r="229" spans="5:83" x14ac:dyDescent="0.2">
      <c r="E229" s="176">
        <v>13</v>
      </c>
      <c r="F229" s="223">
        <f t="shared" si="379"/>
        <v>1.43E-2</v>
      </c>
      <c r="G229" s="223"/>
      <c r="H229" s="223">
        <f t="shared" si="348"/>
        <v>0.34320000000000001</v>
      </c>
      <c r="I229" s="559">
        <f t="shared" si="349"/>
        <v>15</v>
      </c>
      <c r="J229" s="454">
        <f t="shared" si="350"/>
        <v>24.25</v>
      </c>
      <c r="K229" s="454">
        <f t="shared" si="351"/>
        <v>39.25</v>
      </c>
      <c r="L229" s="454"/>
      <c r="M229" s="223">
        <f t="shared" si="352"/>
        <v>0.61783439490445857</v>
      </c>
      <c r="N229" s="178">
        <f t="shared" si="353"/>
        <v>6.3830015923566883</v>
      </c>
      <c r="O229" s="178">
        <f t="shared" si="333"/>
        <v>0.34320000000000001</v>
      </c>
      <c r="P229" s="223">
        <f t="shared" si="354"/>
        <v>0.26595839968152868</v>
      </c>
      <c r="Q229" s="223">
        <f t="shared" si="355"/>
        <v>24</v>
      </c>
      <c r="R229" s="223"/>
      <c r="S229" s="178">
        <f t="shared" si="356"/>
        <v>707.4703336682395</v>
      </c>
      <c r="T229" s="178">
        <f t="shared" si="357"/>
        <v>24</v>
      </c>
      <c r="U229" s="223">
        <f t="shared" si="358"/>
        <v>7.7963320672816069E-2</v>
      </c>
      <c r="V229" s="223">
        <f t="shared" si="359"/>
        <v>0.24428507144149034</v>
      </c>
      <c r="W229" s="223">
        <f t="shared" si="360"/>
        <v>0.1511041679019528</v>
      </c>
      <c r="X229" s="203">
        <f t="shared" si="361"/>
        <v>350</v>
      </c>
      <c r="Y229" s="454">
        <f t="shared" si="362"/>
        <v>350</v>
      </c>
      <c r="AA229" s="223">
        <f t="shared" si="363"/>
        <v>0.56337482818035733</v>
      </c>
      <c r="AB229" s="179">
        <f t="shared" si="364"/>
        <v>1.0919017288444037</v>
      </c>
      <c r="AC229" s="179">
        <f t="shared" si="365"/>
        <v>0.10765124105357142</v>
      </c>
      <c r="AD229" s="179"/>
      <c r="AE229" s="179">
        <f t="shared" si="366"/>
        <v>0.56206185567010303</v>
      </c>
      <c r="AF229" s="563">
        <f t="shared" si="367"/>
        <v>175.46234219647332</v>
      </c>
      <c r="AG229" s="546">
        <f t="shared" si="368"/>
        <v>2.8524639175257726E-2</v>
      </c>
      <c r="AI229" s="179">
        <f t="shared" si="369"/>
        <v>0.20533166883100137</v>
      </c>
      <c r="AJ229" s="179">
        <f t="shared" si="370"/>
        <v>0.28999999999999998</v>
      </c>
      <c r="AK229" s="179">
        <f t="shared" si="371"/>
        <v>1.1002641955408419</v>
      </c>
      <c r="AM229" s="563">
        <f t="shared" si="372"/>
        <v>14.3</v>
      </c>
      <c r="AN229" s="472">
        <f t="shared" si="373"/>
        <v>175.46234219647332</v>
      </c>
      <c r="AP229">
        <f t="shared" si="374"/>
        <v>14.3</v>
      </c>
      <c r="AQ229">
        <f t="shared" si="375"/>
        <v>175.46234219647332</v>
      </c>
      <c r="AS229" s="6">
        <f t="shared" si="334"/>
        <v>5.6992286064451001</v>
      </c>
      <c r="AT229" s="6">
        <f t="shared" si="376"/>
        <v>0.90866666666666662</v>
      </c>
      <c r="AU229" s="6">
        <f t="shared" si="280"/>
        <v>4.7905619397784331</v>
      </c>
      <c r="AV229" s="6"/>
      <c r="AW229" s="179">
        <f t="shared" si="281"/>
        <v>0.15943678160919542</v>
      </c>
      <c r="AX229" s="179"/>
      <c r="CD229" s="581">
        <f t="shared" si="377"/>
        <v>-50</v>
      </c>
      <c r="CE229">
        <f t="shared" si="378"/>
        <v>-50</v>
      </c>
    </row>
    <row r="230" spans="5:83" x14ac:dyDescent="0.2">
      <c r="E230" s="176">
        <v>14</v>
      </c>
      <c r="F230" s="223">
        <f t="shared" si="379"/>
        <v>1.5400000000000002E-2</v>
      </c>
      <c r="G230" s="223"/>
      <c r="H230" s="223">
        <f t="shared" si="348"/>
        <v>0.36960000000000004</v>
      </c>
      <c r="I230" s="559">
        <f t="shared" si="349"/>
        <v>15</v>
      </c>
      <c r="J230" s="454">
        <f t="shared" si="350"/>
        <v>24.25</v>
      </c>
      <c r="K230" s="454">
        <f t="shared" si="351"/>
        <v>39.25</v>
      </c>
      <c r="L230" s="454"/>
      <c r="M230" s="223">
        <f t="shared" si="352"/>
        <v>0.61783439490445857</v>
      </c>
      <c r="N230" s="178">
        <f t="shared" si="353"/>
        <v>6.3830015923566883</v>
      </c>
      <c r="O230" s="178">
        <f t="shared" si="333"/>
        <v>0.36960000000000004</v>
      </c>
      <c r="P230" s="223">
        <f t="shared" si="354"/>
        <v>0.26595839968152868</v>
      </c>
      <c r="Q230" s="223">
        <f t="shared" si="355"/>
        <v>24</v>
      </c>
      <c r="R230" s="223"/>
      <c r="S230" s="178">
        <f t="shared" si="356"/>
        <v>655.86610506222951</v>
      </c>
      <c r="T230" s="178">
        <f t="shared" si="357"/>
        <v>24</v>
      </c>
      <c r="U230" s="223">
        <f t="shared" si="358"/>
        <v>8.3960499186109622E-2</v>
      </c>
      <c r="V230" s="223">
        <f t="shared" si="359"/>
        <v>0.26307623078314346</v>
      </c>
      <c r="W230" s="223">
        <f t="shared" si="360"/>
        <v>0.16272756543287226</v>
      </c>
      <c r="X230" s="203">
        <f t="shared" si="361"/>
        <v>350</v>
      </c>
      <c r="Y230" s="454">
        <f t="shared" si="362"/>
        <v>350</v>
      </c>
      <c r="AA230" s="223">
        <f t="shared" si="363"/>
        <v>0.56337482818035733</v>
      </c>
      <c r="AB230" s="179">
        <f t="shared" si="364"/>
        <v>1.0919017288444037</v>
      </c>
      <c r="AC230" s="179">
        <f t="shared" si="365"/>
        <v>0.10765124105357142</v>
      </c>
      <c r="AD230" s="179"/>
      <c r="AE230" s="179">
        <f t="shared" si="366"/>
        <v>0.56206185567010303</v>
      </c>
      <c r="AF230" s="563">
        <f t="shared" si="367"/>
        <v>188.95944544235593</v>
      </c>
      <c r="AG230" s="546">
        <f t="shared" si="368"/>
        <v>2.8524639175257726E-2</v>
      </c>
      <c r="AI230" s="179">
        <f t="shared" si="369"/>
        <v>0.21308274289380863</v>
      </c>
      <c r="AJ230" s="179">
        <f t="shared" si="370"/>
        <v>0.28999999999999998</v>
      </c>
      <c r="AK230" s="179">
        <f t="shared" si="371"/>
        <v>1.1079768259670606</v>
      </c>
      <c r="AM230" s="563">
        <f t="shared" si="372"/>
        <v>15.400000000000002</v>
      </c>
      <c r="AN230" s="472">
        <f t="shared" si="373"/>
        <v>188.95944544235593</v>
      </c>
      <c r="AP230">
        <f t="shared" si="374"/>
        <v>15.400000000000002</v>
      </c>
      <c r="AQ230">
        <f t="shared" si="375"/>
        <v>188.95944544235593</v>
      </c>
      <c r="AS230" s="6">
        <f t="shared" si="334"/>
        <v>5.2921408488418775</v>
      </c>
      <c r="AT230" s="6">
        <f t="shared" si="376"/>
        <v>0.90866666666666662</v>
      </c>
      <c r="AU230" s="6">
        <f t="shared" si="280"/>
        <v>4.3834741821752106</v>
      </c>
      <c r="AV230" s="6"/>
      <c r="AW230" s="179">
        <f t="shared" si="281"/>
        <v>0.17170114942528741</v>
      </c>
      <c r="AX230" s="179"/>
      <c r="CD230" s="581">
        <f t="shared" si="377"/>
        <v>-50</v>
      </c>
      <c r="CE230">
        <f t="shared" si="378"/>
        <v>-50</v>
      </c>
    </row>
    <row r="231" spans="5:83" x14ac:dyDescent="0.2">
      <c r="E231" s="176">
        <v>15</v>
      </c>
      <c r="F231" s="223">
        <f t="shared" si="379"/>
        <v>1.6500000000000001E-2</v>
      </c>
      <c r="G231" s="223"/>
      <c r="H231" s="223">
        <f t="shared" si="348"/>
        <v>0.39600000000000002</v>
      </c>
      <c r="I231" s="559">
        <f t="shared" si="349"/>
        <v>15</v>
      </c>
      <c r="J231" s="454">
        <f t="shared" si="350"/>
        <v>24.25</v>
      </c>
      <c r="K231" s="454">
        <f t="shared" si="351"/>
        <v>39.25</v>
      </c>
      <c r="L231" s="454"/>
      <c r="M231" s="223">
        <f t="shared" si="352"/>
        <v>0.61783439490445857</v>
      </c>
      <c r="N231" s="178">
        <f t="shared" si="353"/>
        <v>6.3830015923566883</v>
      </c>
      <c r="O231" s="178">
        <f t="shared" si="333"/>
        <v>0.39600000000000002</v>
      </c>
      <c r="P231" s="223">
        <f t="shared" si="354"/>
        <v>0.26595839968152868</v>
      </c>
      <c r="Q231" s="223">
        <f t="shared" si="355"/>
        <v>24</v>
      </c>
      <c r="R231" s="223"/>
      <c r="S231" s="178">
        <f t="shared" si="356"/>
        <v>611.14249717581208</v>
      </c>
      <c r="T231" s="178">
        <f t="shared" si="357"/>
        <v>24</v>
      </c>
      <c r="U231" s="223">
        <f t="shared" si="358"/>
        <v>8.995767769940316E-2</v>
      </c>
      <c r="V231" s="223">
        <f t="shared" si="359"/>
        <v>0.2818673901247965</v>
      </c>
      <c r="W231" s="223">
        <f t="shared" si="360"/>
        <v>0.17435096296379166</v>
      </c>
      <c r="X231" s="203">
        <f t="shared" si="361"/>
        <v>350</v>
      </c>
      <c r="Y231" s="454">
        <f t="shared" si="362"/>
        <v>350</v>
      </c>
      <c r="AA231" s="223">
        <f t="shared" si="363"/>
        <v>0.56337482818035733</v>
      </c>
      <c r="AB231" s="179">
        <f t="shared" si="364"/>
        <v>1.0919017288444037</v>
      </c>
      <c r="AC231" s="179">
        <f t="shared" si="365"/>
        <v>0.10765124105357142</v>
      </c>
      <c r="AD231" s="179"/>
      <c r="AE231" s="179">
        <f t="shared" si="366"/>
        <v>0.56206185567010303</v>
      </c>
      <c r="AF231" s="563">
        <f t="shared" si="367"/>
        <v>202.45654868823846</v>
      </c>
      <c r="AG231" s="546">
        <f t="shared" si="368"/>
        <v>2.8524639175257726E-2</v>
      </c>
      <c r="AI231" s="179">
        <f t="shared" si="369"/>
        <v>0.22056159324182864</v>
      </c>
      <c r="AJ231" s="179">
        <f t="shared" si="370"/>
        <v>0.28999999999999998</v>
      </c>
      <c r="AK231" s="179">
        <f t="shared" si="371"/>
        <v>1.1156894563932791</v>
      </c>
      <c r="AM231" s="563">
        <f t="shared" si="372"/>
        <v>16.5</v>
      </c>
      <c r="AN231" s="472">
        <f t="shared" si="373"/>
        <v>202.45654868823846</v>
      </c>
      <c r="AP231">
        <f t="shared" si="374"/>
        <v>16.5</v>
      </c>
      <c r="AQ231">
        <f t="shared" si="375"/>
        <v>202.45654868823846</v>
      </c>
      <c r="AS231" s="6">
        <f t="shared" si="334"/>
        <v>4.9393314589190869</v>
      </c>
      <c r="AT231" s="6">
        <f t="shared" si="376"/>
        <v>0.90866666666666662</v>
      </c>
      <c r="AU231" s="6">
        <f t="shared" si="280"/>
        <v>4.0306647922524199</v>
      </c>
      <c r="AV231" s="6"/>
      <c r="AW231" s="179">
        <f t="shared" si="281"/>
        <v>0.18396551724137933</v>
      </c>
      <c r="AX231" s="179"/>
      <c r="CD231" s="581">
        <f t="shared" si="377"/>
        <v>-50</v>
      </c>
      <c r="CE231">
        <f t="shared" si="378"/>
        <v>-50</v>
      </c>
    </row>
    <row r="232" spans="5:83" x14ac:dyDescent="0.2">
      <c r="E232" s="176">
        <v>16</v>
      </c>
      <c r="F232" s="223">
        <f t="shared" si="379"/>
        <v>1.7600000000000001E-2</v>
      </c>
      <c r="G232" s="223"/>
      <c r="H232" s="223">
        <f t="shared" si="348"/>
        <v>0.4224</v>
      </c>
      <c r="I232" s="559">
        <f t="shared" si="349"/>
        <v>15</v>
      </c>
      <c r="J232" s="454">
        <f t="shared" si="350"/>
        <v>24.25</v>
      </c>
      <c r="K232" s="454">
        <f t="shared" si="351"/>
        <v>39.25</v>
      </c>
      <c r="L232" s="454"/>
      <c r="M232" s="223">
        <f t="shared" si="352"/>
        <v>0.61783439490445857</v>
      </c>
      <c r="N232" s="178">
        <f t="shared" si="353"/>
        <v>6.3830015923566883</v>
      </c>
      <c r="O232" s="178">
        <f t="shared" si="333"/>
        <v>0.4224</v>
      </c>
      <c r="P232" s="223">
        <f t="shared" si="354"/>
        <v>0.26595839968152868</v>
      </c>
      <c r="Q232" s="223">
        <f t="shared" si="355"/>
        <v>24</v>
      </c>
      <c r="R232" s="223"/>
      <c r="S232" s="178">
        <f t="shared" si="356"/>
        <v>572.00939388146685</v>
      </c>
      <c r="T232" s="178">
        <f t="shared" si="357"/>
        <v>24</v>
      </c>
      <c r="U232" s="223">
        <f t="shared" si="358"/>
        <v>9.5954856212696699E-2</v>
      </c>
      <c r="V232" s="223">
        <f t="shared" si="359"/>
        <v>0.30065854946644965</v>
      </c>
      <c r="W232" s="223">
        <f t="shared" si="360"/>
        <v>0.18597436049471111</v>
      </c>
      <c r="X232" s="203">
        <f t="shared" si="361"/>
        <v>350</v>
      </c>
      <c r="Y232" s="454">
        <f t="shared" si="362"/>
        <v>350</v>
      </c>
      <c r="AA232" s="223">
        <f t="shared" si="363"/>
        <v>0.56337482818035733</v>
      </c>
      <c r="AB232" s="179">
        <f t="shared" si="364"/>
        <v>1.0919017288444037</v>
      </c>
      <c r="AC232" s="179">
        <f t="shared" si="365"/>
        <v>0.10765124105357142</v>
      </c>
      <c r="AD232" s="179"/>
      <c r="AE232" s="179">
        <f t="shared" si="366"/>
        <v>0.56206185567010303</v>
      </c>
      <c r="AF232" s="563">
        <f t="shared" si="367"/>
        <v>215.95365193412104</v>
      </c>
      <c r="AG232" s="546">
        <f t="shared" si="368"/>
        <v>2.8524639175257726E-2</v>
      </c>
      <c r="AI232" s="179">
        <f t="shared" si="369"/>
        <v>0.22779503398362044</v>
      </c>
      <c r="AJ232" s="179">
        <f t="shared" si="370"/>
        <v>0.28999999999999998</v>
      </c>
      <c r="AK232" s="179">
        <f t="shared" si="371"/>
        <v>1.1234020868194978</v>
      </c>
      <c r="AM232" s="563">
        <f t="shared" si="372"/>
        <v>17.600000000000001</v>
      </c>
      <c r="AN232" s="472">
        <f t="shared" si="373"/>
        <v>215.95365193412104</v>
      </c>
      <c r="AP232">
        <f t="shared" si="374"/>
        <v>17.600000000000001</v>
      </c>
      <c r="AQ232">
        <f t="shared" si="375"/>
        <v>215.95365193412104</v>
      </c>
      <c r="AS232" s="6">
        <f t="shared" si="334"/>
        <v>4.6306232427366441</v>
      </c>
      <c r="AT232" s="6">
        <f t="shared" si="376"/>
        <v>0.90866666666666662</v>
      </c>
      <c r="AU232" s="6">
        <f t="shared" si="280"/>
        <v>3.7219565760699775</v>
      </c>
      <c r="AV232" s="6"/>
      <c r="AW232" s="179">
        <f t="shared" si="281"/>
        <v>0.1962298850574713</v>
      </c>
      <c r="AX232" s="179"/>
      <c r="CD232" s="581">
        <f t="shared" si="377"/>
        <v>-50</v>
      </c>
      <c r="CE232">
        <f t="shared" si="378"/>
        <v>-50</v>
      </c>
    </row>
    <row r="233" spans="5:83" x14ac:dyDescent="0.2">
      <c r="E233" s="176">
        <v>17</v>
      </c>
      <c r="F233" s="223">
        <f t="shared" si="379"/>
        <v>1.8700000000000001E-2</v>
      </c>
      <c r="G233" s="223"/>
      <c r="H233" s="223">
        <f t="shared" si="348"/>
        <v>0.44880000000000003</v>
      </c>
      <c r="I233" s="559">
        <f t="shared" si="349"/>
        <v>15</v>
      </c>
      <c r="J233" s="454">
        <f t="shared" si="350"/>
        <v>24.25</v>
      </c>
      <c r="K233" s="454">
        <f t="shared" si="351"/>
        <v>39.25</v>
      </c>
      <c r="L233" s="454"/>
      <c r="M233" s="223">
        <f t="shared" si="352"/>
        <v>0.61783439490445857</v>
      </c>
      <c r="N233" s="178">
        <f t="shared" si="353"/>
        <v>6.3830015923566883</v>
      </c>
      <c r="O233" s="178">
        <f t="shared" si="333"/>
        <v>0.44880000000000003</v>
      </c>
      <c r="P233" s="223">
        <f t="shared" si="354"/>
        <v>0.26595839968152868</v>
      </c>
      <c r="Q233" s="223">
        <f t="shared" si="355"/>
        <v>24</v>
      </c>
      <c r="R233" s="223"/>
      <c r="S233" s="178">
        <f t="shared" si="356"/>
        <v>537.48023578909306</v>
      </c>
      <c r="T233" s="178">
        <f t="shared" si="357"/>
        <v>24</v>
      </c>
      <c r="U233" s="223">
        <f t="shared" si="358"/>
        <v>0.10195203472599025</v>
      </c>
      <c r="V233" s="223">
        <f t="shared" si="359"/>
        <v>0.31944970880810275</v>
      </c>
      <c r="W233" s="223">
        <f t="shared" si="360"/>
        <v>0.19759775802563057</v>
      </c>
      <c r="X233" s="203">
        <f t="shared" si="361"/>
        <v>350</v>
      </c>
      <c r="Y233" s="454">
        <f t="shared" si="362"/>
        <v>350</v>
      </c>
      <c r="AA233" s="223">
        <f t="shared" si="363"/>
        <v>0.56337482818035733</v>
      </c>
      <c r="AB233" s="179">
        <f t="shared" si="364"/>
        <v>1.0919017288444037</v>
      </c>
      <c r="AC233" s="179">
        <f t="shared" si="365"/>
        <v>0.10765124105357142</v>
      </c>
      <c r="AD233" s="179"/>
      <c r="AE233" s="179">
        <f t="shared" si="366"/>
        <v>0.56206185567010303</v>
      </c>
      <c r="AF233" s="563">
        <f t="shared" si="367"/>
        <v>229.45075518000363</v>
      </c>
      <c r="AG233" s="546">
        <f t="shared" si="368"/>
        <v>2.8524639175257726E-2</v>
      </c>
      <c r="AI233" s="179">
        <f t="shared" si="369"/>
        <v>0.2348057465264079</v>
      </c>
      <c r="AJ233" s="179">
        <f t="shared" si="370"/>
        <v>0.28999999999999998</v>
      </c>
      <c r="AK233" s="179">
        <f t="shared" si="371"/>
        <v>1.1311147172457163</v>
      </c>
      <c r="AM233" s="563">
        <f t="shared" si="372"/>
        <v>18.700000000000003</v>
      </c>
      <c r="AN233" s="472">
        <f t="shared" si="373"/>
        <v>229.45075518000363</v>
      </c>
      <c r="AP233">
        <f t="shared" si="374"/>
        <v>18.700000000000003</v>
      </c>
      <c r="AQ233">
        <f t="shared" si="375"/>
        <v>229.45075518000363</v>
      </c>
      <c r="AS233" s="6">
        <f t="shared" si="334"/>
        <v>4.3582336402227231</v>
      </c>
      <c r="AT233" s="6">
        <f t="shared" si="376"/>
        <v>0.90866666666666662</v>
      </c>
      <c r="AU233" s="6">
        <f t="shared" si="280"/>
        <v>3.4495669735560566</v>
      </c>
      <c r="AV233" s="6"/>
      <c r="AW233" s="179">
        <f t="shared" si="281"/>
        <v>0.20849425287356327</v>
      </c>
      <c r="AX233" s="179"/>
      <c r="CD233" s="581">
        <f t="shared" si="377"/>
        <v>-50</v>
      </c>
      <c r="CE233">
        <f t="shared" si="378"/>
        <v>-50</v>
      </c>
    </row>
    <row r="234" spans="5:83" x14ac:dyDescent="0.2">
      <c r="E234" s="176">
        <v>18</v>
      </c>
      <c r="F234" s="223">
        <f t="shared" si="379"/>
        <v>1.9799999999999998E-2</v>
      </c>
      <c r="G234" s="223"/>
      <c r="H234" s="223">
        <f t="shared" si="348"/>
        <v>0.47519999999999996</v>
      </c>
      <c r="I234" s="559">
        <f t="shared" si="349"/>
        <v>15</v>
      </c>
      <c r="J234" s="454">
        <f t="shared" si="350"/>
        <v>24.25</v>
      </c>
      <c r="K234" s="454">
        <f t="shared" si="351"/>
        <v>39.25</v>
      </c>
      <c r="L234" s="454"/>
      <c r="M234" s="223">
        <f t="shared" si="352"/>
        <v>0.61783439490445857</v>
      </c>
      <c r="N234" s="178">
        <f t="shared" si="353"/>
        <v>6.3830015923566883</v>
      </c>
      <c r="O234" s="178">
        <f t="shared" si="333"/>
        <v>0.47519999999999996</v>
      </c>
      <c r="P234" s="223">
        <f t="shared" si="354"/>
        <v>0.26595839968152868</v>
      </c>
      <c r="Q234" s="223">
        <f t="shared" si="355"/>
        <v>24</v>
      </c>
      <c r="R234" s="223"/>
      <c r="S234" s="178">
        <f t="shared" si="356"/>
        <v>506.78769893007126</v>
      </c>
      <c r="T234" s="178">
        <f t="shared" si="357"/>
        <v>24</v>
      </c>
      <c r="U234" s="223">
        <f t="shared" si="358"/>
        <v>0.10794921323928378</v>
      </c>
      <c r="V234" s="223">
        <f t="shared" si="359"/>
        <v>0.33824086814975579</v>
      </c>
      <c r="W234" s="223">
        <f t="shared" si="360"/>
        <v>0.20922115555655002</v>
      </c>
      <c r="X234" s="203">
        <f t="shared" si="361"/>
        <v>350</v>
      </c>
      <c r="Y234" s="454">
        <f t="shared" si="362"/>
        <v>350</v>
      </c>
      <c r="AA234" s="223">
        <f t="shared" si="363"/>
        <v>0.56337482818035733</v>
      </c>
      <c r="AB234" s="179">
        <f t="shared" si="364"/>
        <v>1.0919017288444037</v>
      </c>
      <c r="AC234" s="179">
        <f t="shared" si="365"/>
        <v>0.10765124105357142</v>
      </c>
      <c r="AD234" s="179"/>
      <c r="AE234" s="179">
        <f t="shared" si="366"/>
        <v>0.56206185567010303</v>
      </c>
      <c r="AF234" s="563">
        <f t="shared" si="367"/>
        <v>242.94785842588612</v>
      </c>
      <c r="AG234" s="546">
        <f t="shared" si="368"/>
        <v>2.8524639175257726E-2</v>
      </c>
      <c r="AI234" s="179">
        <f t="shared" si="369"/>
        <v>0.24161311987565706</v>
      </c>
      <c r="AJ234" s="179">
        <f t="shared" si="370"/>
        <v>0.28999999999999998</v>
      </c>
      <c r="AK234" s="179">
        <f t="shared" si="371"/>
        <v>1.1388273476719348</v>
      </c>
      <c r="AM234" s="563">
        <f t="shared" si="372"/>
        <v>19.799999999999997</v>
      </c>
      <c r="AN234" s="472">
        <f t="shared" si="373"/>
        <v>242.94785842588612</v>
      </c>
      <c r="AP234">
        <f t="shared" si="374"/>
        <v>19.799999999999997</v>
      </c>
      <c r="AQ234">
        <f t="shared" si="375"/>
        <v>242.94785842588612</v>
      </c>
      <c r="AS234" s="6">
        <f t="shared" si="334"/>
        <v>4.1161095490992397</v>
      </c>
      <c r="AT234" s="6">
        <f t="shared" si="376"/>
        <v>0.90866666666666662</v>
      </c>
      <c r="AU234" s="6">
        <f t="shared" ref="AU234:AU297" si="380">AS234-AT234</f>
        <v>3.2074428824325731</v>
      </c>
      <c r="AV234" s="6"/>
      <c r="AW234" s="179">
        <f t="shared" ref="AW234:AW297" si="381">AT234/AS234</f>
        <v>0.22075862068965518</v>
      </c>
      <c r="AX234" s="179"/>
      <c r="CD234" s="581">
        <f t="shared" si="377"/>
        <v>-50</v>
      </c>
      <c r="CE234">
        <f t="shared" si="378"/>
        <v>-50</v>
      </c>
    </row>
    <row r="235" spans="5:83" x14ac:dyDescent="0.2">
      <c r="E235" s="176">
        <v>19</v>
      </c>
      <c r="F235" s="223">
        <f t="shared" si="379"/>
        <v>2.0900000000000002E-2</v>
      </c>
      <c r="G235" s="223"/>
      <c r="H235" s="223">
        <f t="shared" si="348"/>
        <v>0.50160000000000005</v>
      </c>
      <c r="I235" s="559">
        <f t="shared" si="349"/>
        <v>15</v>
      </c>
      <c r="J235" s="454">
        <f t="shared" si="350"/>
        <v>24.25</v>
      </c>
      <c r="K235" s="454">
        <f t="shared" si="351"/>
        <v>39.25</v>
      </c>
      <c r="L235" s="454"/>
      <c r="M235" s="223">
        <f t="shared" si="352"/>
        <v>0.61783439490445857</v>
      </c>
      <c r="N235" s="178">
        <f t="shared" si="353"/>
        <v>6.3830015923566883</v>
      </c>
      <c r="O235" s="178">
        <f t="shared" si="333"/>
        <v>0.50160000000000005</v>
      </c>
      <c r="P235" s="223">
        <f t="shared" si="354"/>
        <v>0.26595839968152868</v>
      </c>
      <c r="Q235" s="223">
        <f t="shared" si="355"/>
        <v>24</v>
      </c>
      <c r="R235" s="223"/>
      <c r="S235" s="178">
        <f t="shared" si="356"/>
        <v>479.32600122530476</v>
      </c>
      <c r="T235" s="178">
        <f t="shared" si="357"/>
        <v>24</v>
      </c>
      <c r="U235" s="223">
        <f t="shared" si="358"/>
        <v>0.11394639175257734</v>
      </c>
      <c r="V235" s="223">
        <f t="shared" si="359"/>
        <v>0.357032027491409</v>
      </c>
      <c r="W235" s="223">
        <f t="shared" si="360"/>
        <v>0.22084455308746948</v>
      </c>
      <c r="X235" s="203">
        <f t="shared" si="361"/>
        <v>350</v>
      </c>
      <c r="Y235" s="454">
        <f t="shared" si="362"/>
        <v>350</v>
      </c>
      <c r="AA235" s="223">
        <f t="shared" si="363"/>
        <v>0.56337482818035733</v>
      </c>
      <c r="AB235" s="179">
        <f t="shared" si="364"/>
        <v>1.0919017288444037</v>
      </c>
      <c r="AC235" s="179">
        <f t="shared" si="365"/>
        <v>0.10765124105357142</v>
      </c>
      <c r="AD235" s="179"/>
      <c r="AE235" s="179">
        <f t="shared" si="366"/>
        <v>0.56206185567010303</v>
      </c>
      <c r="AF235" s="563">
        <f t="shared" si="367"/>
        <v>256.44496167176874</v>
      </c>
      <c r="AG235" s="546">
        <f t="shared" si="368"/>
        <v>2.8524639175257726E-2</v>
      </c>
      <c r="AI235" s="179">
        <f t="shared" si="369"/>
        <v>0.24823388324375376</v>
      </c>
      <c r="AJ235" s="179">
        <f t="shared" si="370"/>
        <v>0.28999999999999998</v>
      </c>
      <c r="AK235" s="179">
        <f t="shared" si="371"/>
        <v>1.1465399780981536</v>
      </c>
      <c r="AM235" s="563">
        <f t="shared" si="372"/>
        <v>20.900000000000002</v>
      </c>
      <c r="AN235" s="472">
        <f t="shared" si="373"/>
        <v>256.44496167176874</v>
      </c>
      <c r="AP235">
        <f t="shared" si="374"/>
        <v>20.900000000000002</v>
      </c>
      <c r="AQ235">
        <f t="shared" si="375"/>
        <v>256.44496167176874</v>
      </c>
      <c r="AS235" s="6">
        <f t="shared" si="334"/>
        <v>3.8994722044098054</v>
      </c>
      <c r="AT235" s="6">
        <f t="shared" si="376"/>
        <v>0.90866666666666662</v>
      </c>
      <c r="AU235" s="6">
        <f t="shared" si="380"/>
        <v>2.9908055377431388</v>
      </c>
      <c r="AV235" s="6"/>
      <c r="AW235" s="179">
        <f t="shared" si="381"/>
        <v>0.23302298850574715</v>
      </c>
      <c r="AX235" s="179"/>
      <c r="CD235" s="581">
        <f t="shared" si="377"/>
        <v>-50</v>
      </c>
      <c r="CE235">
        <f t="shared" si="378"/>
        <v>-50</v>
      </c>
    </row>
    <row r="236" spans="5:83" x14ac:dyDescent="0.2">
      <c r="E236" s="176">
        <v>20</v>
      </c>
      <c r="F236" s="223">
        <f t="shared" si="379"/>
        <v>2.2000000000000002E-2</v>
      </c>
      <c r="G236" s="223"/>
      <c r="H236" s="223">
        <f t="shared" si="348"/>
        <v>0.52800000000000002</v>
      </c>
      <c r="I236" s="559">
        <f t="shared" si="349"/>
        <v>15</v>
      </c>
      <c r="J236" s="454">
        <f t="shared" si="350"/>
        <v>24.25</v>
      </c>
      <c r="K236" s="454">
        <f t="shared" si="351"/>
        <v>39.25</v>
      </c>
      <c r="L236" s="454"/>
      <c r="M236" s="223">
        <f t="shared" si="352"/>
        <v>0.61783439490445857</v>
      </c>
      <c r="N236" s="178">
        <f t="shared" si="353"/>
        <v>6.3830015923566883</v>
      </c>
      <c r="O236" s="178">
        <f t="shared" si="333"/>
        <v>0.52800000000000002</v>
      </c>
      <c r="P236" s="223">
        <f t="shared" si="354"/>
        <v>0.26595839968152868</v>
      </c>
      <c r="Q236" s="223">
        <f t="shared" si="355"/>
        <v>24</v>
      </c>
      <c r="R236" s="223"/>
      <c r="S236" s="178">
        <f t="shared" si="356"/>
        <v>454.6105170128497</v>
      </c>
      <c r="T236" s="178">
        <f t="shared" si="357"/>
        <v>24</v>
      </c>
      <c r="U236" s="223">
        <f t="shared" si="358"/>
        <v>0.11994357026587088</v>
      </c>
      <c r="V236" s="223">
        <f t="shared" si="359"/>
        <v>0.37582318683306204</v>
      </c>
      <c r="W236" s="223">
        <f t="shared" si="360"/>
        <v>0.2324679506183889</v>
      </c>
      <c r="X236" s="203">
        <f t="shared" si="361"/>
        <v>350</v>
      </c>
      <c r="Y236" s="454">
        <f t="shared" si="362"/>
        <v>350</v>
      </c>
      <c r="AA236" s="223">
        <f t="shared" si="363"/>
        <v>0.56337482818035733</v>
      </c>
      <c r="AB236" s="179">
        <f t="shared" si="364"/>
        <v>1.0919017288444037</v>
      </c>
      <c r="AC236" s="179">
        <f t="shared" si="365"/>
        <v>0.10765124105357142</v>
      </c>
      <c r="AD236" s="179"/>
      <c r="AE236" s="179">
        <f t="shared" si="366"/>
        <v>0.56206185567010303</v>
      </c>
      <c r="AF236" s="563">
        <f t="shared" si="367"/>
        <v>269.94206491765129</v>
      </c>
      <c r="AG236" s="546">
        <f t="shared" si="368"/>
        <v>2.8524639175257726E-2</v>
      </c>
      <c r="AI236" s="179">
        <f t="shared" si="369"/>
        <v>0.25468259046212505</v>
      </c>
      <c r="AJ236" s="179">
        <f t="shared" si="370"/>
        <v>0.28999999999999998</v>
      </c>
      <c r="AK236" s="179">
        <f t="shared" si="371"/>
        <v>1.1542526085243723</v>
      </c>
      <c r="AM236" s="563">
        <f t="shared" si="372"/>
        <v>22.000000000000004</v>
      </c>
      <c r="AN236" s="472">
        <f t="shared" si="373"/>
        <v>269.94206491765129</v>
      </c>
      <c r="AP236">
        <f t="shared" si="374"/>
        <v>22.000000000000004</v>
      </c>
      <c r="AQ236">
        <f t="shared" si="375"/>
        <v>269.94206491765129</v>
      </c>
      <c r="AS236" s="6">
        <f t="shared" si="334"/>
        <v>3.7044985941893152</v>
      </c>
      <c r="AT236" s="6">
        <f t="shared" si="376"/>
        <v>0.90866666666666662</v>
      </c>
      <c r="AU236" s="6">
        <f t="shared" si="380"/>
        <v>2.7958319275226486</v>
      </c>
      <c r="AV236" s="6"/>
      <c r="AW236" s="179">
        <f t="shared" si="381"/>
        <v>0.24528735632183912</v>
      </c>
      <c r="AX236" s="179"/>
      <c r="CD236" s="581">
        <f t="shared" si="377"/>
        <v>-50</v>
      </c>
      <c r="CE236">
        <f t="shared" si="378"/>
        <v>-50</v>
      </c>
    </row>
    <row r="237" spans="5:83" x14ac:dyDescent="0.2">
      <c r="E237" s="176">
        <v>21</v>
      </c>
      <c r="F237" s="223">
        <f t="shared" si="379"/>
        <v>2.3099999999999999E-2</v>
      </c>
      <c r="G237" s="223"/>
      <c r="H237" s="223">
        <f t="shared" si="348"/>
        <v>0.5544</v>
      </c>
      <c r="I237" s="559">
        <f t="shared" si="349"/>
        <v>15</v>
      </c>
      <c r="J237" s="454">
        <f t="shared" si="350"/>
        <v>24.25</v>
      </c>
      <c r="K237" s="454">
        <f t="shared" si="351"/>
        <v>39.25</v>
      </c>
      <c r="L237" s="454"/>
      <c r="M237" s="223">
        <f t="shared" si="352"/>
        <v>0.61783439490445857</v>
      </c>
      <c r="N237" s="178">
        <f t="shared" si="353"/>
        <v>6.3830015923566883</v>
      </c>
      <c r="O237" s="178">
        <f t="shared" si="333"/>
        <v>0.5544</v>
      </c>
      <c r="P237" s="223">
        <f t="shared" si="354"/>
        <v>0.26595839968152868</v>
      </c>
      <c r="Q237" s="223">
        <f t="shared" si="355"/>
        <v>24</v>
      </c>
      <c r="R237" s="223"/>
      <c r="S237" s="178">
        <f t="shared" si="356"/>
        <v>432.24893028193617</v>
      </c>
      <c r="T237" s="178">
        <f t="shared" si="357"/>
        <v>24</v>
      </c>
      <c r="U237" s="223">
        <f t="shared" si="358"/>
        <v>0.12594074877916442</v>
      </c>
      <c r="V237" s="223">
        <f t="shared" si="359"/>
        <v>0.39461434617471514</v>
      </c>
      <c r="W237" s="223">
        <f t="shared" si="360"/>
        <v>0.24409134814930833</v>
      </c>
      <c r="X237" s="203">
        <f t="shared" si="361"/>
        <v>350</v>
      </c>
      <c r="Y237" s="454">
        <f t="shared" si="362"/>
        <v>350</v>
      </c>
      <c r="AA237" s="223">
        <f t="shared" si="363"/>
        <v>0.56337482818035733</v>
      </c>
      <c r="AB237" s="179">
        <f t="shared" si="364"/>
        <v>1.0919017288444037</v>
      </c>
      <c r="AC237" s="179">
        <f t="shared" si="365"/>
        <v>0.10765124105357142</v>
      </c>
      <c r="AD237" s="179"/>
      <c r="AE237" s="179">
        <f t="shared" si="366"/>
        <v>0.56206185567010303</v>
      </c>
      <c r="AF237" s="563">
        <f t="shared" si="367"/>
        <v>283.43916816353385</v>
      </c>
      <c r="AG237" s="546">
        <f t="shared" si="368"/>
        <v>2.8524639175257726E-2</v>
      </c>
      <c r="AI237" s="179">
        <f t="shared" si="369"/>
        <v>0.26097199654124464</v>
      </c>
      <c r="AJ237" s="179">
        <f t="shared" si="370"/>
        <v>0.28999999999999998</v>
      </c>
      <c r="AK237" s="179">
        <f t="shared" si="371"/>
        <v>1.1619652389505908</v>
      </c>
      <c r="AM237" s="563">
        <f t="shared" si="372"/>
        <v>23.099999999999998</v>
      </c>
      <c r="AN237" s="472">
        <f t="shared" si="373"/>
        <v>283.43916816353385</v>
      </c>
      <c r="AP237">
        <f t="shared" si="374"/>
        <v>23.099999999999998</v>
      </c>
      <c r="AQ237">
        <f t="shared" si="375"/>
        <v>283.43916816353385</v>
      </c>
      <c r="AS237" s="6">
        <f t="shared" si="334"/>
        <v>3.5280938992279189</v>
      </c>
      <c r="AT237" s="6">
        <f t="shared" si="376"/>
        <v>0.90866666666666662</v>
      </c>
      <c r="AU237" s="6">
        <f t="shared" si="380"/>
        <v>2.6194272325612524</v>
      </c>
      <c r="AV237" s="6"/>
      <c r="AW237" s="179">
        <f t="shared" si="381"/>
        <v>0.25755172413793109</v>
      </c>
      <c r="AX237" s="179"/>
      <c r="CD237" s="581">
        <f t="shared" si="377"/>
        <v>-50</v>
      </c>
      <c r="CE237">
        <f t="shared" si="378"/>
        <v>-50</v>
      </c>
    </row>
    <row r="238" spans="5:83" x14ac:dyDescent="0.2">
      <c r="E238" s="176">
        <v>22</v>
      </c>
      <c r="F238" s="223">
        <f t="shared" si="379"/>
        <v>2.4199999999999999E-2</v>
      </c>
      <c r="G238" s="223"/>
      <c r="H238" s="223">
        <f t="shared" si="348"/>
        <v>0.58079999999999998</v>
      </c>
      <c r="I238" s="559">
        <f t="shared" si="349"/>
        <v>15</v>
      </c>
      <c r="J238" s="454">
        <f t="shared" si="350"/>
        <v>24.25</v>
      </c>
      <c r="K238" s="454">
        <f t="shared" si="351"/>
        <v>39.25</v>
      </c>
      <c r="L238" s="454"/>
      <c r="M238" s="223">
        <f t="shared" si="352"/>
        <v>0.61783439490445857</v>
      </c>
      <c r="N238" s="178">
        <f t="shared" si="353"/>
        <v>6.3830015923566883</v>
      </c>
      <c r="O238" s="178">
        <f t="shared" si="333"/>
        <v>0.58079999999999998</v>
      </c>
      <c r="P238" s="223">
        <f t="shared" si="354"/>
        <v>0.26595839968152868</v>
      </c>
      <c r="Q238" s="223">
        <f t="shared" si="355"/>
        <v>24</v>
      </c>
      <c r="R238" s="223"/>
      <c r="S238" s="178">
        <f t="shared" si="356"/>
        <v>411.92025520680102</v>
      </c>
      <c r="T238" s="178">
        <f t="shared" si="357"/>
        <v>24</v>
      </c>
      <c r="U238" s="223">
        <f t="shared" si="358"/>
        <v>0.13193792729245796</v>
      </c>
      <c r="V238" s="223">
        <f t="shared" si="359"/>
        <v>0.41340550551636829</v>
      </c>
      <c r="W238" s="223">
        <f t="shared" si="360"/>
        <v>0.25571474568022784</v>
      </c>
      <c r="X238" s="203">
        <f t="shared" si="361"/>
        <v>350</v>
      </c>
      <c r="Y238" s="454">
        <f t="shared" si="362"/>
        <v>350</v>
      </c>
      <c r="AA238" s="223">
        <f t="shared" si="363"/>
        <v>0.56337482818035733</v>
      </c>
      <c r="AB238" s="179">
        <f t="shared" si="364"/>
        <v>1.0919017288444037</v>
      </c>
      <c r="AC238" s="179">
        <f t="shared" si="365"/>
        <v>0.10765124105357142</v>
      </c>
      <c r="AD238" s="179"/>
      <c r="AE238" s="179">
        <f t="shared" si="366"/>
        <v>0.56206185567010303</v>
      </c>
      <c r="AF238" s="563">
        <f t="shared" si="367"/>
        <v>296.93627140941641</v>
      </c>
      <c r="AG238" s="546">
        <f t="shared" si="368"/>
        <v>2.8524639175257726E-2</v>
      </c>
      <c r="AI238" s="179">
        <f t="shared" si="369"/>
        <v>0.26711335435157174</v>
      </c>
      <c r="AJ238" s="179">
        <f t="shared" si="370"/>
        <v>0.28999999999999998</v>
      </c>
      <c r="AK238" s="179">
        <f t="shared" si="371"/>
        <v>1.1696778693768093</v>
      </c>
      <c r="AM238" s="563">
        <f t="shared" si="372"/>
        <v>24.2</v>
      </c>
      <c r="AN238" s="472">
        <f t="shared" si="373"/>
        <v>296.93627140941641</v>
      </c>
      <c r="AP238">
        <f t="shared" si="374"/>
        <v>24.2</v>
      </c>
      <c r="AQ238">
        <f t="shared" si="375"/>
        <v>296.93627140941641</v>
      </c>
      <c r="AS238" s="6">
        <f t="shared" si="334"/>
        <v>3.3677259947175591</v>
      </c>
      <c r="AT238" s="6">
        <f t="shared" si="376"/>
        <v>0.90866666666666662</v>
      </c>
      <c r="AU238" s="6">
        <f t="shared" si="380"/>
        <v>2.4590593280508926</v>
      </c>
      <c r="AV238" s="6"/>
      <c r="AW238" s="179">
        <f t="shared" si="381"/>
        <v>0.26981609195402306</v>
      </c>
      <c r="AX238" s="179"/>
      <c r="CD238" s="581">
        <f t="shared" si="377"/>
        <v>-50</v>
      </c>
      <c r="CE238">
        <f t="shared" si="378"/>
        <v>-50</v>
      </c>
    </row>
    <row r="239" spans="5:83" x14ac:dyDescent="0.2">
      <c r="E239" s="176">
        <v>23</v>
      </c>
      <c r="F239" s="223">
        <f t="shared" si="379"/>
        <v>2.53E-2</v>
      </c>
      <c r="G239" s="223"/>
      <c r="H239" s="223">
        <f t="shared" si="348"/>
        <v>0.60719999999999996</v>
      </c>
      <c r="I239" s="559">
        <f t="shared" si="349"/>
        <v>15</v>
      </c>
      <c r="J239" s="454">
        <f t="shared" si="350"/>
        <v>24.25</v>
      </c>
      <c r="K239" s="454">
        <f t="shared" si="351"/>
        <v>39.25</v>
      </c>
      <c r="L239" s="454"/>
      <c r="M239" s="223">
        <f t="shared" si="352"/>
        <v>0.61783439490445857</v>
      </c>
      <c r="N239" s="178">
        <f t="shared" si="353"/>
        <v>6.3830015923566883</v>
      </c>
      <c r="O239" s="178">
        <f t="shared" si="333"/>
        <v>0.60719999999999996</v>
      </c>
      <c r="P239" s="223">
        <f t="shared" si="354"/>
        <v>0.26595839968152868</v>
      </c>
      <c r="Q239" s="223">
        <f t="shared" si="355"/>
        <v>24</v>
      </c>
      <c r="R239" s="223"/>
      <c r="S239" s="178">
        <f t="shared" si="356"/>
        <v>393.35932958474024</v>
      </c>
      <c r="T239" s="178">
        <f t="shared" si="357"/>
        <v>24</v>
      </c>
      <c r="U239" s="223">
        <f t="shared" si="358"/>
        <v>0.1379351058057515</v>
      </c>
      <c r="V239" s="223">
        <f t="shared" si="359"/>
        <v>0.43219666485802133</v>
      </c>
      <c r="W239" s="223">
        <f t="shared" si="360"/>
        <v>0.26733814321114718</v>
      </c>
      <c r="X239" s="203">
        <f t="shared" si="361"/>
        <v>350</v>
      </c>
      <c r="Y239" s="454">
        <f t="shared" si="362"/>
        <v>350</v>
      </c>
      <c r="AA239" s="223">
        <f t="shared" si="363"/>
        <v>0.56337482818035733</v>
      </c>
      <c r="AB239" s="179">
        <f t="shared" si="364"/>
        <v>1.0919017288444037</v>
      </c>
      <c r="AC239" s="179">
        <f t="shared" si="365"/>
        <v>0.10765124105357142</v>
      </c>
      <c r="AD239" s="179"/>
      <c r="AE239" s="179">
        <f t="shared" si="366"/>
        <v>0.56206185567010303</v>
      </c>
      <c r="AF239" s="563">
        <f t="shared" si="367"/>
        <v>310.43337465529896</v>
      </c>
      <c r="AG239" s="546">
        <f t="shared" si="368"/>
        <v>2.8524639175257726E-2</v>
      </c>
      <c r="AI239" s="179">
        <f t="shared" si="369"/>
        <v>0.27311665120818479</v>
      </c>
      <c r="AJ239" s="179">
        <f t="shared" si="370"/>
        <v>0.28999999999999998</v>
      </c>
      <c r="AK239" s="179">
        <f t="shared" si="371"/>
        <v>1.177390499803028</v>
      </c>
      <c r="AM239" s="563">
        <f t="shared" si="372"/>
        <v>25.3</v>
      </c>
      <c r="AN239" s="472">
        <f t="shared" si="373"/>
        <v>310.43337465529896</v>
      </c>
      <c r="AP239">
        <f t="shared" si="374"/>
        <v>25.3</v>
      </c>
      <c r="AQ239">
        <f t="shared" si="375"/>
        <v>310.43337465529896</v>
      </c>
      <c r="AS239" s="6">
        <f t="shared" si="334"/>
        <v>3.2213031253820135</v>
      </c>
      <c r="AT239" s="6">
        <f t="shared" si="376"/>
        <v>0.90866666666666662</v>
      </c>
      <c r="AU239" s="6">
        <f t="shared" si="380"/>
        <v>2.312636458715347</v>
      </c>
      <c r="AV239" s="6"/>
      <c r="AW239" s="179">
        <f t="shared" si="381"/>
        <v>0.28208045977011498</v>
      </c>
      <c r="AX239" s="179"/>
      <c r="CD239" s="581">
        <f t="shared" si="377"/>
        <v>-50</v>
      </c>
      <c r="CE239">
        <f t="shared" si="378"/>
        <v>-50</v>
      </c>
    </row>
    <row r="240" spans="5:83" x14ac:dyDescent="0.2">
      <c r="E240" s="176">
        <v>24</v>
      </c>
      <c r="F240" s="223">
        <f t="shared" si="379"/>
        <v>2.64E-2</v>
      </c>
      <c r="G240" s="223"/>
      <c r="H240" s="223">
        <f t="shared" si="348"/>
        <v>0.63359999999999994</v>
      </c>
      <c r="I240" s="559">
        <f t="shared" si="349"/>
        <v>15</v>
      </c>
      <c r="J240" s="454">
        <f t="shared" si="350"/>
        <v>24.25</v>
      </c>
      <c r="K240" s="454">
        <f t="shared" si="351"/>
        <v>39.25</v>
      </c>
      <c r="L240" s="454"/>
      <c r="M240" s="223">
        <f t="shared" si="352"/>
        <v>0.61783439490445857</v>
      </c>
      <c r="N240" s="178">
        <f t="shared" si="353"/>
        <v>6.3830015923566883</v>
      </c>
      <c r="O240" s="178">
        <f t="shared" si="333"/>
        <v>0.63359999999999994</v>
      </c>
      <c r="P240" s="223">
        <f t="shared" si="354"/>
        <v>0.26595839968152868</v>
      </c>
      <c r="Q240" s="223">
        <f t="shared" si="355"/>
        <v>24</v>
      </c>
      <c r="R240" s="223"/>
      <c r="S240" s="178">
        <f t="shared" si="356"/>
        <v>376.34518491464678</v>
      </c>
      <c r="T240" s="178">
        <f t="shared" si="357"/>
        <v>24</v>
      </c>
      <c r="U240" s="223">
        <f t="shared" si="358"/>
        <v>0.14393228431904503</v>
      </c>
      <c r="V240" s="223">
        <f t="shared" si="359"/>
        <v>0.45098782419967443</v>
      </c>
      <c r="W240" s="223">
        <f t="shared" si="360"/>
        <v>0.27896154074206664</v>
      </c>
      <c r="X240" s="203">
        <f t="shared" si="361"/>
        <v>350</v>
      </c>
      <c r="Y240" s="454">
        <f t="shared" si="362"/>
        <v>350</v>
      </c>
      <c r="AA240" s="223">
        <f t="shared" si="363"/>
        <v>0.56337482818035733</v>
      </c>
      <c r="AB240" s="179">
        <f t="shared" si="364"/>
        <v>1.0919017288444037</v>
      </c>
      <c r="AC240" s="179">
        <f t="shared" si="365"/>
        <v>0.10765124105357142</v>
      </c>
      <c r="AD240" s="179"/>
      <c r="AE240" s="179">
        <f t="shared" si="366"/>
        <v>0.56206185567010303</v>
      </c>
      <c r="AF240" s="563">
        <f t="shared" si="367"/>
        <v>323.93047790118158</v>
      </c>
      <c r="AG240" s="546">
        <f t="shared" si="368"/>
        <v>2.8524639175257726E-2</v>
      </c>
      <c r="AI240" s="179">
        <f t="shared" si="369"/>
        <v>0.27899079959991185</v>
      </c>
      <c r="AJ240" s="179">
        <f t="shared" si="370"/>
        <v>0.28999999999999998</v>
      </c>
      <c r="AK240" s="179">
        <f t="shared" si="371"/>
        <v>1.1851031302292467</v>
      </c>
      <c r="AM240" s="563">
        <f t="shared" si="372"/>
        <v>26.4</v>
      </c>
      <c r="AN240" s="472">
        <f t="shared" si="373"/>
        <v>323.93047790118158</v>
      </c>
      <c r="AP240">
        <f t="shared" si="374"/>
        <v>26.4</v>
      </c>
      <c r="AQ240">
        <f t="shared" si="375"/>
        <v>323.93047790118158</v>
      </c>
      <c r="AS240" s="6">
        <f t="shared" si="334"/>
        <v>3.0870821618244291</v>
      </c>
      <c r="AT240" s="6">
        <f t="shared" si="376"/>
        <v>0.90866666666666662</v>
      </c>
      <c r="AU240" s="6">
        <f t="shared" si="380"/>
        <v>2.1784154951577626</v>
      </c>
      <c r="AV240" s="6"/>
      <c r="AW240" s="179">
        <f t="shared" si="381"/>
        <v>0.29434482758620695</v>
      </c>
      <c r="AX240" s="179"/>
      <c r="CD240" s="581">
        <f t="shared" si="377"/>
        <v>-50</v>
      </c>
      <c r="CE240">
        <f t="shared" si="378"/>
        <v>-50</v>
      </c>
    </row>
    <row r="241" spans="5:83" x14ac:dyDescent="0.2">
      <c r="E241" s="176">
        <v>25</v>
      </c>
      <c r="F241" s="223">
        <f t="shared" si="379"/>
        <v>2.75E-2</v>
      </c>
      <c r="G241" s="223"/>
      <c r="H241" s="223">
        <f t="shared" si="348"/>
        <v>0.66</v>
      </c>
      <c r="I241" s="559">
        <f t="shared" si="349"/>
        <v>15</v>
      </c>
      <c r="J241" s="454">
        <f t="shared" si="350"/>
        <v>24.25</v>
      </c>
      <c r="K241" s="454">
        <f t="shared" si="351"/>
        <v>39.25</v>
      </c>
      <c r="L241" s="454"/>
      <c r="M241" s="223">
        <f t="shared" si="352"/>
        <v>0.61783439490445857</v>
      </c>
      <c r="N241" s="178">
        <f t="shared" si="353"/>
        <v>6.3830015923566883</v>
      </c>
      <c r="O241" s="178">
        <f t="shared" si="333"/>
        <v>0.66</v>
      </c>
      <c r="P241" s="223">
        <f t="shared" si="354"/>
        <v>0.26595839968152868</v>
      </c>
      <c r="Q241" s="223">
        <f t="shared" si="355"/>
        <v>24</v>
      </c>
      <c r="R241" s="223"/>
      <c r="S241" s="178">
        <f t="shared" si="356"/>
        <v>360.69220765669934</v>
      </c>
      <c r="T241" s="178">
        <f t="shared" si="357"/>
        <v>24</v>
      </c>
      <c r="U241" s="223">
        <f t="shared" si="358"/>
        <v>0.1499294628323386</v>
      </c>
      <c r="V241" s="223">
        <f t="shared" si="359"/>
        <v>0.46977898354132758</v>
      </c>
      <c r="W241" s="223">
        <f t="shared" si="360"/>
        <v>0.29058493827298615</v>
      </c>
      <c r="X241" s="203">
        <f t="shared" si="361"/>
        <v>350</v>
      </c>
      <c r="Y241" s="454">
        <f t="shared" si="362"/>
        <v>350</v>
      </c>
      <c r="AA241" s="223">
        <f t="shared" si="363"/>
        <v>0.56337482818035733</v>
      </c>
      <c r="AB241" s="179">
        <f t="shared" si="364"/>
        <v>1.0919017288444037</v>
      </c>
      <c r="AC241" s="179">
        <f t="shared" si="365"/>
        <v>0.10765124105357142</v>
      </c>
      <c r="AD241" s="179"/>
      <c r="AE241" s="179">
        <f t="shared" si="366"/>
        <v>0.56206185567010303</v>
      </c>
      <c r="AF241" s="563">
        <f t="shared" si="367"/>
        <v>337.42758114706413</v>
      </c>
      <c r="AG241" s="546">
        <f t="shared" si="368"/>
        <v>2.8524639175257726E-2</v>
      </c>
      <c r="AI241" s="179">
        <f t="shared" si="369"/>
        <v>0.28474379247952553</v>
      </c>
      <c r="AJ241" s="179">
        <f t="shared" si="370"/>
        <v>0.28999999999999998</v>
      </c>
      <c r="AK241" s="179">
        <f t="shared" si="371"/>
        <v>1.1928157606554652</v>
      </c>
      <c r="AM241" s="563">
        <f t="shared" si="372"/>
        <v>27.5</v>
      </c>
      <c r="AN241" s="472">
        <f t="shared" si="373"/>
        <v>337.42758114706413</v>
      </c>
      <c r="AP241">
        <f t="shared" si="374"/>
        <v>27.5</v>
      </c>
      <c r="AQ241">
        <f t="shared" si="375"/>
        <v>337.42758114706413</v>
      </c>
      <c r="AS241" s="6">
        <f t="shared" si="334"/>
        <v>2.9635988753514519</v>
      </c>
      <c r="AT241" s="6">
        <f t="shared" si="376"/>
        <v>0.90866666666666662</v>
      </c>
      <c r="AU241" s="6">
        <f t="shared" si="380"/>
        <v>2.0549322086847854</v>
      </c>
      <c r="AV241" s="6"/>
      <c r="AW241" s="179">
        <f t="shared" si="381"/>
        <v>0.30660919540229892</v>
      </c>
      <c r="AX241" s="179"/>
      <c r="CD241" s="581">
        <f t="shared" si="377"/>
        <v>-50</v>
      </c>
      <c r="CE241">
        <f t="shared" si="378"/>
        <v>-50</v>
      </c>
    </row>
    <row r="242" spans="5:83" x14ac:dyDescent="0.2">
      <c r="E242" s="176">
        <v>26</v>
      </c>
      <c r="F242" s="223">
        <f t="shared" si="379"/>
        <v>2.86E-2</v>
      </c>
      <c r="G242" s="223"/>
      <c r="H242" s="223">
        <f t="shared" si="348"/>
        <v>0.68640000000000001</v>
      </c>
      <c r="I242" s="559">
        <f t="shared" si="349"/>
        <v>15</v>
      </c>
      <c r="J242" s="454">
        <f t="shared" si="350"/>
        <v>24.25</v>
      </c>
      <c r="K242" s="454">
        <f t="shared" si="351"/>
        <v>39.25</v>
      </c>
      <c r="L242" s="454"/>
      <c r="M242" s="223">
        <f t="shared" si="352"/>
        <v>0.61783439490445857</v>
      </c>
      <c r="N242" s="178">
        <f t="shared" si="353"/>
        <v>6.3830015923566883</v>
      </c>
      <c r="O242" s="178">
        <f t="shared" si="333"/>
        <v>0.68640000000000001</v>
      </c>
      <c r="P242" s="223">
        <f t="shared" si="354"/>
        <v>0.26595839968152868</v>
      </c>
      <c r="Q242" s="223">
        <f t="shared" si="355"/>
        <v>24</v>
      </c>
      <c r="R242" s="223"/>
      <c r="S242" s="178">
        <f t="shared" si="356"/>
        <v>346.24334020135478</v>
      </c>
      <c r="T242" s="178">
        <f t="shared" si="357"/>
        <v>24</v>
      </c>
      <c r="U242" s="223">
        <f t="shared" si="358"/>
        <v>0.15592664134563214</v>
      </c>
      <c r="V242" s="223">
        <f t="shared" si="359"/>
        <v>0.48857014288298067</v>
      </c>
      <c r="W242" s="223">
        <f t="shared" si="360"/>
        <v>0.3022083358039056</v>
      </c>
      <c r="X242" s="203">
        <f t="shared" si="361"/>
        <v>350</v>
      </c>
      <c r="Y242" s="454">
        <f t="shared" si="362"/>
        <v>350</v>
      </c>
      <c r="AA242" s="223">
        <f t="shared" si="363"/>
        <v>0.56337482818035733</v>
      </c>
      <c r="AB242" s="179">
        <f t="shared" si="364"/>
        <v>1.0919017288444037</v>
      </c>
      <c r="AC242" s="179">
        <f t="shared" si="365"/>
        <v>0.10765124105357142</v>
      </c>
      <c r="AD242" s="179"/>
      <c r="AE242" s="179">
        <f t="shared" si="366"/>
        <v>0.56206185567010303</v>
      </c>
      <c r="AF242" s="563">
        <f t="shared" si="367"/>
        <v>350.92468439294663</v>
      </c>
      <c r="AG242" s="546">
        <f t="shared" si="368"/>
        <v>2.8524639175257726E-2</v>
      </c>
      <c r="AI242" s="179">
        <f t="shared" si="369"/>
        <v>0.29038283084550304</v>
      </c>
      <c r="AJ242" s="179">
        <f t="shared" si="370"/>
        <v>0.29038283084550304</v>
      </c>
      <c r="AK242" s="179">
        <f t="shared" si="371"/>
        <v>1.2002835784040764</v>
      </c>
      <c r="AM242" s="563">
        <f t="shared" si="372"/>
        <v>28.6</v>
      </c>
      <c r="AN242" s="472">
        <f t="shared" si="373"/>
        <v>350</v>
      </c>
      <c r="AP242">
        <f t="shared" si="374"/>
        <v>28.6</v>
      </c>
      <c r="AQ242">
        <f t="shared" si="375"/>
        <v>350</v>
      </c>
      <c r="AS242" s="6">
        <f t="shared" si="334"/>
        <v>2.8571428571428572</v>
      </c>
      <c r="AT242" s="6">
        <f t="shared" si="376"/>
        <v>0.90986620331590951</v>
      </c>
      <c r="AU242" s="6">
        <f t="shared" si="380"/>
        <v>1.9472766538269477</v>
      </c>
      <c r="AV242" s="6"/>
      <c r="AW242" s="179">
        <f t="shared" si="381"/>
        <v>0.31845317116056832</v>
      </c>
      <c r="AX242" s="179"/>
      <c r="CD242" s="581">
        <f t="shared" si="377"/>
        <v>-50</v>
      </c>
      <c r="CE242">
        <f t="shared" si="378"/>
        <v>-50</v>
      </c>
    </row>
    <row r="243" spans="5:83" x14ac:dyDescent="0.2">
      <c r="E243" s="176">
        <v>27</v>
      </c>
      <c r="F243" s="223">
        <f t="shared" si="379"/>
        <v>2.9700000000000001E-2</v>
      </c>
      <c r="G243" s="223"/>
      <c r="H243" s="223">
        <f t="shared" si="348"/>
        <v>0.71279999999999999</v>
      </c>
      <c r="I243" s="559">
        <f t="shared" si="349"/>
        <v>15</v>
      </c>
      <c r="J243" s="454">
        <f t="shared" si="350"/>
        <v>24.25</v>
      </c>
      <c r="K243" s="454">
        <f t="shared" si="351"/>
        <v>39.25</v>
      </c>
      <c r="L243" s="454"/>
      <c r="M243" s="223">
        <f t="shared" si="352"/>
        <v>0.61783439490445857</v>
      </c>
      <c r="N243" s="178">
        <f t="shared" si="353"/>
        <v>6.3830015923566883</v>
      </c>
      <c r="O243" s="178">
        <f t="shared" si="333"/>
        <v>0.71279999999999999</v>
      </c>
      <c r="P243" s="223">
        <f t="shared" si="354"/>
        <v>0.26595839968152868</v>
      </c>
      <c r="Q243" s="223">
        <f t="shared" si="355"/>
        <v>24</v>
      </c>
      <c r="R243" s="223"/>
      <c r="S243" s="178">
        <f t="shared" si="356"/>
        <v>332.86479273411948</v>
      </c>
      <c r="T243" s="178">
        <f t="shared" si="357"/>
        <v>24</v>
      </c>
      <c r="U243" s="223">
        <f t="shared" si="358"/>
        <v>0.16192381985892568</v>
      </c>
      <c r="V243" s="223">
        <f t="shared" si="359"/>
        <v>0.50736130222463383</v>
      </c>
      <c r="W243" s="223">
        <f t="shared" si="360"/>
        <v>0.313831733334825</v>
      </c>
      <c r="X243" s="203">
        <f t="shared" si="361"/>
        <v>350</v>
      </c>
      <c r="Y243" s="454">
        <f t="shared" si="362"/>
        <v>350</v>
      </c>
      <c r="AA243" s="223">
        <f t="shared" si="363"/>
        <v>0.56337482818035733</v>
      </c>
      <c r="AB243" s="179">
        <f t="shared" si="364"/>
        <v>1.0919017288444037</v>
      </c>
      <c r="AC243" s="179">
        <f t="shared" si="365"/>
        <v>0.10765124105357142</v>
      </c>
      <c r="AD243" s="179"/>
      <c r="AE243" s="179">
        <f t="shared" si="366"/>
        <v>0.56206185567010303</v>
      </c>
      <c r="AF243" s="563">
        <f t="shared" si="367"/>
        <v>364.42178763882924</v>
      </c>
      <c r="AG243" s="546">
        <f t="shared" si="368"/>
        <v>2.8524639175257726E-2</v>
      </c>
      <c r="AI243" s="179">
        <f t="shared" si="369"/>
        <v>0.29591442942863222</v>
      </c>
      <c r="AJ243" s="179">
        <f t="shared" si="370"/>
        <v>0.29591442942863222</v>
      </c>
      <c r="AK243" s="179">
        <f t="shared" si="371"/>
        <v>1.2043810588360238</v>
      </c>
      <c r="AM243" s="563">
        <f t="shared" si="372"/>
        <v>29.7</v>
      </c>
      <c r="AN243" s="472">
        <f t="shared" si="373"/>
        <v>350</v>
      </c>
      <c r="AP243">
        <f t="shared" si="374"/>
        <v>29.7</v>
      </c>
      <c r="AQ243">
        <f t="shared" si="375"/>
        <v>350</v>
      </c>
      <c r="AS243" s="6">
        <f t="shared" si="334"/>
        <v>2.8571428571428572</v>
      </c>
      <c r="AT243" s="6">
        <f t="shared" si="376"/>
        <v>0.9271985455430477</v>
      </c>
      <c r="AU243" s="6">
        <f t="shared" si="380"/>
        <v>1.9299443115998094</v>
      </c>
      <c r="AV243" s="6"/>
      <c r="AW243" s="179">
        <f t="shared" si="381"/>
        <v>0.32451949094006671</v>
      </c>
      <c r="AX243" s="179"/>
      <c r="CD243" s="581">
        <f t="shared" si="377"/>
        <v>-50</v>
      </c>
      <c r="CE243">
        <f t="shared" si="378"/>
        <v>-50</v>
      </c>
    </row>
    <row r="244" spans="5:83" x14ac:dyDescent="0.2">
      <c r="E244" s="176">
        <v>28</v>
      </c>
      <c r="F244" s="223">
        <f t="shared" si="379"/>
        <v>3.0800000000000004E-2</v>
      </c>
      <c r="G244" s="223"/>
      <c r="H244" s="223">
        <f t="shared" si="348"/>
        <v>0.73920000000000008</v>
      </c>
      <c r="I244" s="559">
        <f t="shared" si="349"/>
        <v>15</v>
      </c>
      <c r="J244" s="454">
        <f t="shared" si="350"/>
        <v>24.25</v>
      </c>
      <c r="K244" s="454">
        <f t="shared" si="351"/>
        <v>39.25</v>
      </c>
      <c r="L244" s="454"/>
      <c r="M244" s="223">
        <f t="shared" si="352"/>
        <v>0.61783439490445857</v>
      </c>
      <c r="N244" s="178">
        <f t="shared" si="353"/>
        <v>6.3830015923566883</v>
      </c>
      <c r="O244" s="178">
        <f t="shared" si="333"/>
        <v>0.73920000000000008</v>
      </c>
      <c r="P244" s="223">
        <f t="shared" si="354"/>
        <v>0.26595839968152868</v>
      </c>
      <c r="Q244" s="223">
        <f t="shared" si="355"/>
        <v>24</v>
      </c>
      <c r="R244" s="223"/>
      <c r="S244" s="178">
        <f t="shared" si="356"/>
        <v>320.44188827215521</v>
      </c>
      <c r="T244" s="178">
        <f t="shared" si="357"/>
        <v>24</v>
      </c>
      <c r="U244" s="223">
        <f t="shared" si="358"/>
        <v>0.16792099837221924</v>
      </c>
      <c r="V244" s="223">
        <f t="shared" si="359"/>
        <v>0.52615246156628692</v>
      </c>
      <c r="W244" s="223">
        <f t="shared" si="360"/>
        <v>0.32545513086574451</v>
      </c>
      <c r="X244" s="203">
        <f t="shared" si="361"/>
        <v>350</v>
      </c>
      <c r="Y244" s="454">
        <f t="shared" si="362"/>
        <v>350</v>
      </c>
      <c r="AA244" s="223">
        <f t="shared" si="363"/>
        <v>0.56337482818035733</v>
      </c>
      <c r="AB244" s="179">
        <f t="shared" si="364"/>
        <v>1.0919017288444037</v>
      </c>
      <c r="AC244" s="179">
        <f t="shared" si="365"/>
        <v>0.10765124105357142</v>
      </c>
      <c r="AD244" s="179"/>
      <c r="AE244" s="179">
        <f t="shared" si="366"/>
        <v>0.56206185567010303</v>
      </c>
      <c r="AF244" s="563">
        <f t="shared" si="367"/>
        <v>377.91889088471186</v>
      </c>
      <c r="AG244" s="546">
        <f t="shared" si="368"/>
        <v>2.8524639175257726E-2</v>
      </c>
      <c r="AI244" s="179">
        <f t="shared" si="369"/>
        <v>0.3013445049080834</v>
      </c>
      <c r="AJ244" s="179">
        <f t="shared" si="370"/>
        <v>0.3013445049080834</v>
      </c>
      <c r="AK244" s="179">
        <f t="shared" si="371"/>
        <v>1.2084033369689506</v>
      </c>
      <c r="AM244" s="563">
        <f t="shared" si="372"/>
        <v>30.800000000000004</v>
      </c>
      <c r="AN244" s="472">
        <f t="shared" si="373"/>
        <v>350</v>
      </c>
      <c r="AP244">
        <f t="shared" si="374"/>
        <v>30.800000000000004</v>
      </c>
      <c r="AQ244">
        <f t="shared" si="375"/>
        <v>350</v>
      </c>
      <c r="AS244" s="6">
        <f t="shared" si="334"/>
        <v>2.8571428571428572</v>
      </c>
      <c r="AT244" s="6">
        <f t="shared" si="376"/>
        <v>0.94421278204532799</v>
      </c>
      <c r="AU244" s="6">
        <f t="shared" si="380"/>
        <v>1.9129300750975293</v>
      </c>
      <c r="AV244" s="6"/>
      <c r="AW244" s="179">
        <f t="shared" si="381"/>
        <v>0.3304744737158648</v>
      </c>
      <c r="AX244" s="179"/>
      <c r="CD244" s="581">
        <f t="shared" si="377"/>
        <v>-50</v>
      </c>
      <c r="CE244">
        <f t="shared" si="378"/>
        <v>-50</v>
      </c>
    </row>
    <row r="245" spans="5:83" x14ac:dyDescent="0.2">
      <c r="E245" s="176">
        <v>29</v>
      </c>
      <c r="F245" s="223">
        <f t="shared" si="379"/>
        <v>3.1899999999999998E-2</v>
      </c>
      <c r="G245" s="223"/>
      <c r="H245" s="223">
        <f t="shared" si="348"/>
        <v>0.76559999999999995</v>
      </c>
      <c r="I245" s="559">
        <f t="shared" si="349"/>
        <v>15</v>
      </c>
      <c r="J245" s="454">
        <f t="shared" si="350"/>
        <v>24.25</v>
      </c>
      <c r="K245" s="454">
        <f t="shared" si="351"/>
        <v>39.25</v>
      </c>
      <c r="L245" s="454"/>
      <c r="M245" s="223">
        <f t="shared" si="352"/>
        <v>0.61783439490445857</v>
      </c>
      <c r="N245" s="178">
        <f t="shared" si="353"/>
        <v>6.3830015923566883</v>
      </c>
      <c r="O245" s="178">
        <f t="shared" si="333"/>
        <v>0.76559999999999995</v>
      </c>
      <c r="P245" s="223">
        <f t="shared" si="354"/>
        <v>0.26595839968152868</v>
      </c>
      <c r="Q245" s="223">
        <f t="shared" si="355"/>
        <v>24</v>
      </c>
      <c r="R245" s="223"/>
      <c r="S245" s="178">
        <f t="shared" si="356"/>
        <v>308.87576734848494</v>
      </c>
      <c r="T245" s="178">
        <f t="shared" si="357"/>
        <v>24</v>
      </c>
      <c r="U245" s="223">
        <f t="shared" si="358"/>
        <v>0.17391817688551275</v>
      </c>
      <c r="V245" s="223">
        <f t="shared" si="359"/>
        <v>0.54494362090793991</v>
      </c>
      <c r="W245" s="223">
        <f t="shared" si="360"/>
        <v>0.33707852839666386</v>
      </c>
      <c r="X245" s="203">
        <f t="shared" si="361"/>
        <v>350</v>
      </c>
      <c r="Y245" s="454">
        <f t="shared" si="362"/>
        <v>350</v>
      </c>
      <c r="AA245" s="223">
        <f t="shared" si="363"/>
        <v>0.56337482818035733</v>
      </c>
      <c r="AB245" s="179">
        <f t="shared" si="364"/>
        <v>1.0919017288444037</v>
      </c>
      <c r="AC245" s="179">
        <f t="shared" si="365"/>
        <v>0.10765124105357142</v>
      </c>
      <c r="AD245" s="179"/>
      <c r="AE245" s="179">
        <f t="shared" si="366"/>
        <v>0.56206185567010303</v>
      </c>
      <c r="AF245" s="563">
        <f t="shared" si="367"/>
        <v>391.4159941305943</v>
      </c>
      <c r="AG245" s="546">
        <f t="shared" si="368"/>
        <v>2.8524639175257726E-2</v>
      </c>
      <c r="AI245" s="179">
        <f t="shared" si="369"/>
        <v>0.30667845006215028</v>
      </c>
      <c r="AJ245" s="179">
        <f t="shared" si="370"/>
        <v>0.30667845006215028</v>
      </c>
      <c r="AK245" s="179">
        <f t="shared" si="371"/>
        <v>1.2123544074534447</v>
      </c>
      <c r="AM245" s="563">
        <f t="shared" si="372"/>
        <v>31.9</v>
      </c>
      <c r="AN245" s="472">
        <f t="shared" si="373"/>
        <v>350</v>
      </c>
      <c r="AP245">
        <f t="shared" si="374"/>
        <v>31.9</v>
      </c>
      <c r="AQ245">
        <f t="shared" si="375"/>
        <v>350</v>
      </c>
      <c r="AS245" s="6">
        <f t="shared" si="334"/>
        <v>2.8571428571428572</v>
      </c>
      <c r="AT245" s="6">
        <f t="shared" si="376"/>
        <v>0.96092581019473755</v>
      </c>
      <c r="AU245" s="6">
        <f t="shared" si="380"/>
        <v>1.8962170469481197</v>
      </c>
      <c r="AV245" s="6"/>
      <c r="AW245" s="179">
        <f t="shared" si="381"/>
        <v>0.33632403356815815</v>
      </c>
      <c r="AX245" s="179"/>
      <c r="CD245" s="581">
        <f t="shared" si="377"/>
        <v>-50</v>
      </c>
      <c r="CE245">
        <f t="shared" si="378"/>
        <v>-50</v>
      </c>
    </row>
    <row r="246" spans="5:83" x14ac:dyDescent="0.2">
      <c r="E246" s="176">
        <v>30</v>
      </c>
      <c r="F246" s="223">
        <f t="shared" si="379"/>
        <v>3.3000000000000002E-2</v>
      </c>
      <c r="G246" s="223"/>
      <c r="H246" s="223">
        <f t="shared" si="348"/>
        <v>0.79200000000000004</v>
      </c>
      <c r="I246" s="559">
        <f t="shared" si="349"/>
        <v>15</v>
      </c>
      <c r="J246" s="454">
        <f t="shared" si="350"/>
        <v>24.25</v>
      </c>
      <c r="K246" s="454">
        <f t="shared" si="351"/>
        <v>39.25</v>
      </c>
      <c r="L246" s="454"/>
      <c r="M246" s="223">
        <f t="shared" si="352"/>
        <v>0.61783439490445857</v>
      </c>
      <c r="N246" s="178">
        <f t="shared" si="353"/>
        <v>6.3830015923566883</v>
      </c>
      <c r="O246" s="178">
        <f t="shared" si="333"/>
        <v>0.79200000000000004</v>
      </c>
      <c r="P246" s="223">
        <f t="shared" si="354"/>
        <v>0.26595839968152868</v>
      </c>
      <c r="Q246" s="223">
        <f t="shared" si="355"/>
        <v>24</v>
      </c>
      <c r="R246" s="223"/>
      <c r="S246" s="178">
        <f t="shared" si="356"/>
        <v>298.08075175935573</v>
      </c>
      <c r="T246" s="178">
        <f t="shared" si="357"/>
        <v>24</v>
      </c>
      <c r="U246" s="223">
        <f t="shared" si="358"/>
        <v>0.17991535539880632</v>
      </c>
      <c r="V246" s="223">
        <f t="shared" si="359"/>
        <v>0.563734780249593</v>
      </c>
      <c r="W246" s="223">
        <f t="shared" si="360"/>
        <v>0.34870192592758331</v>
      </c>
      <c r="X246" s="203">
        <f t="shared" si="361"/>
        <v>350</v>
      </c>
      <c r="Y246" s="454">
        <f t="shared" si="362"/>
        <v>350</v>
      </c>
      <c r="AA246" s="223">
        <f t="shared" si="363"/>
        <v>0.56337482818035733</v>
      </c>
      <c r="AB246" s="179">
        <f t="shared" si="364"/>
        <v>1.0919017288444037</v>
      </c>
      <c r="AC246" s="179">
        <f t="shared" si="365"/>
        <v>0.10765124105357142</v>
      </c>
      <c r="AD246" s="179"/>
      <c r="AE246" s="179">
        <f t="shared" si="366"/>
        <v>0.56206185567010303</v>
      </c>
      <c r="AF246" s="563">
        <f t="shared" si="367"/>
        <v>404.91309737647691</v>
      </c>
      <c r="AG246" s="546">
        <f t="shared" si="368"/>
        <v>2.8524639175257726E-2</v>
      </c>
      <c r="AI246" s="179">
        <f t="shared" si="369"/>
        <v>0.31192119650121203</v>
      </c>
      <c r="AJ246" s="179">
        <f t="shared" si="370"/>
        <v>0.31192119650121203</v>
      </c>
      <c r="AK246" s="179">
        <f t="shared" si="371"/>
        <v>1.2162379233342311</v>
      </c>
      <c r="AM246" s="563">
        <f t="shared" si="372"/>
        <v>33</v>
      </c>
      <c r="AN246" s="472">
        <f t="shared" si="373"/>
        <v>350</v>
      </c>
      <c r="AP246">
        <f t="shared" si="374"/>
        <v>33</v>
      </c>
      <c r="AQ246">
        <f t="shared" si="375"/>
        <v>350</v>
      </c>
      <c r="AS246" s="6">
        <f t="shared" si="334"/>
        <v>2.8571428571428572</v>
      </c>
      <c r="AT246" s="6">
        <f t="shared" si="376"/>
        <v>0.97735308237046425</v>
      </c>
      <c r="AU246" s="6">
        <f t="shared" si="380"/>
        <v>1.8797897747723931</v>
      </c>
      <c r="AV246" s="6"/>
      <c r="AW246" s="179">
        <f t="shared" si="381"/>
        <v>0.34207357882966249</v>
      </c>
      <c r="AX246" s="179"/>
      <c r="CD246" s="581">
        <f t="shared" si="377"/>
        <v>-50</v>
      </c>
      <c r="CE246">
        <f t="shared" si="378"/>
        <v>-50</v>
      </c>
    </row>
    <row r="247" spans="5:83" x14ac:dyDescent="0.2">
      <c r="E247" s="176">
        <v>31</v>
      </c>
      <c r="F247" s="223">
        <f t="shared" si="379"/>
        <v>3.4099999999999998E-2</v>
      </c>
      <c r="G247" s="223"/>
      <c r="H247" s="223">
        <f t="shared" si="348"/>
        <v>0.81840000000000002</v>
      </c>
      <c r="I247" s="559">
        <f t="shared" si="349"/>
        <v>15</v>
      </c>
      <c r="J247" s="454">
        <f t="shared" si="350"/>
        <v>24.25</v>
      </c>
      <c r="K247" s="454">
        <f t="shared" si="351"/>
        <v>39.25</v>
      </c>
      <c r="L247" s="454"/>
      <c r="M247" s="223">
        <f t="shared" si="352"/>
        <v>0.61783439490445857</v>
      </c>
      <c r="N247" s="178">
        <f t="shared" si="353"/>
        <v>6.3830015923566883</v>
      </c>
      <c r="O247" s="178">
        <f t="shared" si="333"/>
        <v>0.81840000000000002</v>
      </c>
      <c r="P247" s="223">
        <f t="shared" si="354"/>
        <v>0.26595839968152868</v>
      </c>
      <c r="Q247" s="223">
        <f t="shared" si="355"/>
        <v>24</v>
      </c>
      <c r="R247" s="223"/>
      <c r="S247" s="178">
        <f t="shared" si="356"/>
        <v>287.98221855404989</v>
      </c>
      <c r="T247" s="178">
        <f t="shared" si="357"/>
        <v>24</v>
      </c>
      <c r="U247" s="223">
        <f t="shared" si="358"/>
        <v>0.18591253391209986</v>
      </c>
      <c r="V247" s="223">
        <f t="shared" si="359"/>
        <v>0.5825259395912461</v>
      </c>
      <c r="W247" s="223">
        <f t="shared" si="360"/>
        <v>0.36032532345850277</v>
      </c>
      <c r="X247" s="203">
        <f t="shared" si="361"/>
        <v>350</v>
      </c>
      <c r="Y247" s="454">
        <f t="shared" si="362"/>
        <v>350</v>
      </c>
      <c r="AA247" s="223">
        <f t="shared" si="363"/>
        <v>0.56337482818035733</v>
      </c>
      <c r="AB247" s="179">
        <f t="shared" si="364"/>
        <v>1.0919017288444037</v>
      </c>
      <c r="AC247" s="179">
        <f t="shared" si="365"/>
        <v>0.10765124105357142</v>
      </c>
      <c r="AD247" s="179"/>
      <c r="AE247" s="179">
        <f t="shared" si="366"/>
        <v>0.56206185567010303</v>
      </c>
      <c r="AF247" s="563">
        <f t="shared" si="367"/>
        <v>418.41020062235947</v>
      </c>
      <c r="AG247" s="546">
        <f t="shared" si="368"/>
        <v>2.8524639175257726E-2</v>
      </c>
      <c r="AI247" s="179">
        <f t="shared" si="369"/>
        <v>0.31707726806091391</v>
      </c>
      <c r="AJ247" s="179">
        <f t="shared" si="370"/>
        <v>0.31707726806091391</v>
      </c>
      <c r="AK247" s="179">
        <f t="shared" si="371"/>
        <v>1.2200572356006769</v>
      </c>
      <c r="AM247" s="563">
        <f t="shared" si="372"/>
        <v>34.1</v>
      </c>
      <c r="AN247" s="472">
        <f t="shared" si="373"/>
        <v>350</v>
      </c>
      <c r="AP247">
        <f t="shared" si="374"/>
        <v>34.1</v>
      </c>
      <c r="AQ247">
        <f t="shared" si="375"/>
        <v>350</v>
      </c>
      <c r="AS247" s="6">
        <f t="shared" si="334"/>
        <v>2.8571428571428572</v>
      </c>
      <c r="AT247" s="6">
        <f t="shared" si="376"/>
        <v>0.99350877325753029</v>
      </c>
      <c r="AU247" s="6">
        <f t="shared" si="380"/>
        <v>1.8636340838853269</v>
      </c>
      <c r="AV247" s="6"/>
      <c r="AW247" s="179">
        <f t="shared" si="381"/>
        <v>0.34772807064013561</v>
      </c>
      <c r="AX247" s="179"/>
      <c r="CD247" s="581">
        <f t="shared" si="377"/>
        <v>-50</v>
      </c>
      <c r="CE247">
        <f t="shared" si="378"/>
        <v>-50</v>
      </c>
    </row>
    <row r="248" spans="5:83" x14ac:dyDescent="0.2">
      <c r="E248" s="176">
        <v>32</v>
      </c>
      <c r="F248" s="223">
        <f t="shared" si="379"/>
        <v>3.5200000000000002E-2</v>
      </c>
      <c r="G248" s="223"/>
      <c r="H248" s="223">
        <f t="shared" ref="H248:H279" si="382">F248*Vout</f>
        <v>0.8448</v>
      </c>
      <c r="I248" s="559">
        <f t="shared" ref="I248:I279" si="383">VIN_max</f>
        <v>15</v>
      </c>
      <c r="J248" s="454">
        <f t="shared" ref="J248:J279" si="384">(T248+Vfwd1)*Nps</f>
        <v>24.25</v>
      </c>
      <c r="K248" s="454">
        <f t="shared" ref="K248:K279" si="385">(Vout+Vfwd1)*Nps+I248</f>
        <v>39.25</v>
      </c>
      <c r="L248" s="454"/>
      <c r="M248" s="223">
        <f t="shared" ref="M248:M279" si="386">(Vout+Vfwd1)*Nps/((Vout+Vfwd1)*Nps+I248)</f>
        <v>0.61783439490445857</v>
      </c>
      <c r="N248" s="178">
        <f t="shared" ref="N248:N279" si="387">M248*I248*Isw_max*0.5*Efficiency</f>
        <v>6.3830015923566883</v>
      </c>
      <c r="O248" s="178">
        <f t="shared" si="333"/>
        <v>0.8448</v>
      </c>
      <c r="P248" s="223">
        <f t="shared" ref="P248:P279" si="388">N248/Vout</f>
        <v>0.26595839968152868</v>
      </c>
      <c r="Q248" s="223">
        <f t="shared" ref="Q248:Q279" si="389">MIN(Vout,N248/F248)</f>
        <v>24</v>
      </c>
      <c r="R248" s="223"/>
      <c r="S248" s="178">
        <f t="shared" ref="S248:S279" si="390">(SQRT(Isw_max^2*Nps^2*I248^2+4*Isw_max*F248/Efficiency*(Nps^2*Vfwd1*I248-Nps*I248^2)+4*(F248/Efficiency)^2*Nps^2*Vfwd1^2+8*(F248/Efficiency)^2*Nps*Vfwd1*I248+4*(F248/Efficiency)^2*I248^2)-2*F248/Efficiency*I248-2*F248/Efficiency*Nps*Vfwd1+Isw_max*Nps*I248)/(4*F248/Efficiency*Nps)</f>
        <v>278.51487265160432</v>
      </c>
      <c r="T248" s="178">
        <f t="shared" ref="T248:T279" si="391">MIN(Vout, S248)</f>
        <v>24</v>
      </c>
      <c r="U248" s="223">
        <f t="shared" ref="U248:U279" si="392">MIN(2*Vout*F248/(Efficiency*I248*M248), Isw_max)</f>
        <v>0.1919097124253934</v>
      </c>
      <c r="V248" s="223">
        <f t="shared" ref="V248:V279" si="393">L*U248/I248*1000000</f>
        <v>0.60131709893289931</v>
      </c>
      <c r="W248" s="223">
        <f t="shared" ref="W248:W279" si="394">L*U248/J248*1000000</f>
        <v>0.37194872098942222</v>
      </c>
      <c r="X248" s="203">
        <f t="shared" ref="X248:X279" si="395">IF(1/((350000*L)*(1/I248+1/J248))&gt;Isw_min, 350, 0.001/((Isw_min*L)*(1/I248+1/J248)))</f>
        <v>350</v>
      </c>
      <c r="Y248" s="454">
        <f t="shared" si="362"/>
        <v>350</v>
      </c>
      <c r="AA248" s="223">
        <f t="shared" ref="AA248:AA279" si="396">1/((X248*1000*L)*(1/I248+1/J248))</f>
        <v>0.56337482818035733</v>
      </c>
      <c r="AB248" s="179">
        <f t="shared" ref="AB248:AB279" si="397">L*AA248/J248*1000000</f>
        <v>1.0919017288444037</v>
      </c>
      <c r="AC248" s="179">
        <f t="shared" ref="AC248:AC279" si="398">0.5*AB248*AA248*Nps*X248/1000</f>
        <v>0.10765124105357142</v>
      </c>
      <c r="AD248" s="179"/>
      <c r="AE248" s="179">
        <f t="shared" ref="AE248:AE279" si="399">L*Isw_min/J248*1000000</f>
        <v>0.56206185567010303</v>
      </c>
      <c r="AF248" s="563">
        <f t="shared" ref="AF248:AF279" si="400">MAX(10000,F248/(0.5*AE248/1000000*Isw_min*Nps))/1000</f>
        <v>431.90730386824208</v>
      </c>
      <c r="AG248" s="546">
        <f t="shared" ref="AG248:AG279" si="401">0.5*AE248/1000000*Isw_min*Nps*X248*1000</f>
        <v>2.8524639175257726E-2</v>
      </c>
      <c r="AI248" s="179">
        <f t="shared" ref="AI248:AI279" si="402">SQRT(F248/(0.5*L/J248*Fsw_DCM*Nps))</f>
        <v>0.32215082650087612</v>
      </c>
      <c r="AJ248" s="179">
        <f t="shared" ref="AJ248:AJ279" si="403">MAX(IF(F248&gt;AC248,U248,AI248),Isw_min)</f>
        <v>0.32215082650087612</v>
      </c>
      <c r="AK248" s="179">
        <f t="shared" ref="AK248:AK279" si="404">IF(F248&gt;AG248, (AJ248-Isw_min)/1.08*0.8+1.2, AF248*0.2/350+1)</f>
        <v>1.223815427037686</v>
      </c>
      <c r="AM248" s="563">
        <f t="shared" ref="AM248:AM279" si="405">F248*1000</f>
        <v>35.200000000000003</v>
      </c>
      <c r="AN248" s="472">
        <f t="shared" ref="AN248:AN279" si="406">IF(F248&gt;AG248, Y248, AF248)</f>
        <v>350</v>
      </c>
      <c r="AP248">
        <f t="shared" ref="AP248:AP279" si="407">IF(H248&gt;N248, "",AM248)</f>
        <v>35.200000000000003</v>
      </c>
      <c r="AQ248">
        <f t="shared" ref="AQ248:AQ279" si="408">IF(H248&gt;N248, "",AN248)</f>
        <v>350</v>
      </c>
      <c r="AS248" s="6">
        <f t="shared" si="334"/>
        <v>2.8571428571428572</v>
      </c>
      <c r="AT248" s="6">
        <f t="shared" ref="AT248:AT279" si="409">L*AJ248/I248*1000000</f>
        <v>1.0094059230360786</v>
      </c>
      <c r="AU248" s="6">
        <f t="shared" si="380"/>
        <v>1.8477369341067786</v>
      </c>
      <c r="AV248" s="6"/>
      <c r="AW248" s="179">
        <f t="shared" si="381"/>
        <v>0.3532920730626275</v>
      </c>
      <c r="AX248" s="179"/>
      <c r="CD248" s="581">
        <f t="shared" ref="CD248:CD279" si="410">IF(ABS(F248-Ioutmax_Vinmax)&lt;Iout/200, AN248, -50)</f>
        <v>-50</v>
      </c>
      <c r="CE248">
        <f t="shared" ref="CE248:CE279" si="411">IF(ABS(F248-Ioutmax_Vinmin)&lt;Iout/200, N248*BZ248, -50)</f>
        <v>-50</v>
      </c>
    </row>
    <row r="249" spans="5:83" x14ac:dyDescent="0.2">
      <c r="E249" s="176">
        <v>33</v>
      </c>
      <c r="F249" s="223">
        <f t="shared" ref="F249:F280" si="412">IF(PLOT_TYPE=1, E249/100*Iout_max, min_I*EXP(N249*rr/100))</f>
        <v>3.6299999999999999E-2</v>
      </c>
      <c r="G249" s="223"/>
      <c r="H249" s="223">
        <f t="shared" si="382"/>
        <v>0.87119999999999997</v>
      </c>
      <c r="I249" s="559">
        <f t="shared" si="383"/>
        <v>15</v>
      </c>
      <c r="J249" s="454">
        <f t="shared" si="384"/>
        <v>24.25</v>
      </c>
      <c r="K249" s="454">
        <f t="shared" si="385"/>
        <v>39.25</v>
      </c>
      <c r="L249" s="454"/>
      <c r="M249" s="223">
        <f t="shared" si="386"/>
        <v>0.61783439490445857</v>
      </c>
      <c r="N249" s="178">
        <f t="shared" si="387"/>
        <v>6.3830015923566883</v>
      </c>
      <c r="O249" s="178">
        <f t="shared" si="333"/>
        <v>0.87119999999999997</v>
      </c>
      <c r="P249" s="223">
        <f t="shared" si="388"/>
        <v>0.26595839968152868</v>
      </c>
      <c r="Q249" s="223">
        <f t="shared" si="389"/>
        <v>24</v>
      </c>
      <c r="R249" s="223"/>
      <c r="S249" s="178">
        <f t="shared" si="390"/>
        <v>269.62133352721912</v>
      </c>
      <c r="T249" s="178">
        <f t="shared" si="391"/>
        <v>24</v>
      </c>
      <c r="U249" s="223">
        <f t="shared" si="392"/>
        <v>0.19790689093868694</v>
      </c>
      <c r="V249" s="223">
        <f t="shared" si="393"/>
        <v>0.62010825827455229</v>
      </c>
      <c r="W249" s="223">
        <f t="shared" si="394"/>
        <v>0.38357211852034168</v>
      </c>
      <c r="X249" s="203">
        <f t="shared" si="395"/>
        <v>350</v>
      </c>
      <c r="Y249" s="454">
        <f t="shared" si="362"/>
        <v>350</v>
      </c>
      <c r="AA249" s="223">
        <f t="shared" si="396"/>
        <v>0.56337482818035733</v>
      </c>
      <c r="AB249" s="179">
        <f t="shared" si="397"/>
        <v>1.0919017288444037</v>
      </c>
      <c r="AC249" s="179">
        <f t="shared" si="398"/>
        <v>0.10765124105357142</v>
      </c>
      <c r="AD249" s="179"/>
      <c r="AE249" s="179">
        <f t="shared" si="399"/>
        <v>0.56206185567010303</v>
      </c>
      <c r="AF249" s="563">
        <f t="shared" si="400"/>
        <v>445.40440711412464</v>
      </c>
      <c r="AG249" s="546">
        <f t="shared" si="401"/>
        <v>2.8524639175257726E-2</v>
      </c>
      <c r="AI249" s="179">
        <f t="shared" si="402"/>
        <v>0.32714571082229171</v>
      </c>
      <c r="AJ249" s="179">
        <f t="shared" si="403"/>
        <v>0.32714571082229171</v>
      </c>
      <c r="AK249" s="179">
        <f t="shared" si="404"/>
        <v>1.2275153413498456</v>
      </c>
      <c r="AM249" s="563">
        <f t="shared" si="405"/>
        <v>36.299999999999997</v>
      </c>
      <c r="AN249" s="472">
        <f t="shared" si="406"/>
        <v>350</v>
      </c>
      <c r="AP249">
        <f t="shared" si="407"/>
        <v>36.299999999999997</v>
      </c>
      <c r="AQ249">
        <f t="shared" si="408"/>
        <v>350</v>
      </c>
      <c r="AS249" s="6">
        <f t="shared" si="334"/>
        <v>2.8571428571428572</v>
      </c>
      <c r="AT249" s="6">
        <f t="shared" si="409"/>
        <v>1.0250565605765138</v>
      </c>
      <c r="AU249" s="6">
        <f t="shared" si="380"/>
        <v>1.8320862965663434</v>
      </c>
      <c r="AV249" s="6"/>
      <c r="AW249" s="179">
        <f t="shared" si="381"/>
        <v>0.35876979620177984</v>
      </c>
      <c r="AX249" s="179"/>
      <c r="CD249" s="581">
        <f t="shared" si="410"/>
        <v>-50</v>
      </c>
      <c r="CE249">
        <f t="shared" si="411"/>
        <v>-50</v>
      </c>
    </row>
    <row r="250" spans="5:83" x14ac:dyDescent="0.2">
      <c r="E250" s="176">
        <v>34</v>
      </c>
      <c r="F250" s="223">
        <f t="shared" si="412"/>
        <v>3.7400000000000003E-2</v>
      </c>
      <c r="G250" s="223"/>
      <c r="H250" s="223">
        <f t="shared" si="382"/>
        <v>0.89760000000000006</v>
      </c>
      <c r="I250" s="559">
        <f t="shared" si="383"/>
        <v>15</v>
      </c>
      <c r="J250" s="454">
        <f t="shared" si="384"/>
        <v>24.25</v>
      </c>
      <c r="K250" s="454">
        <f t="shared" si="385"/>
        <v>39.25</v>
      </c>
      <c r="L250" s="454"/>
      <c r="M250" s="223">
        <f t="shared" si="386"/>
        <v>0.61783439490445857</v>
      </c>
      <c r="N250" s="178">
        <f t="shared" si="387"/>
        <v>6.3830015923566883</v>
      </c>
      <c r="O250" s="178">
        <f t="shared" si="333"/>
        <v>0.89760000000000006</v>
      </c>
      <c r="P250" s="223">
        <f t="shared" si="388"/>
        <v>0.26595839968152868</v>
      </c>
      <c r="Q250" s="223">
        <f t="shared" si="389"/>
        <v>24</v>
      </c>
      <c r="R250" s="223"/>
      <c r="S250" s="178">
        <f t="shared" si="390"/>
        <v>261.25097130694593</v>
      </c>
      <c r="T250" s="178">
        <f t="shared" si="391"/>
        <v>24</v>
      </c>
      <c r="U250" s="223">
        <f t="shared" si="392"/>
        <v>0.2039040694519805</v>
      </c>
      <c r="V250" s="223">
        <f t="shared" si="393"/>
        <v>0.6388994176162055</v>
      </c>
      <c r="W250" s="223">
        <f t="shared" si="394"/>
        <v>0.39519551605126113</v>
      </c>
      <c r="X250" s="203">
        <f t="shared" si="395"/>
        <v>350</v>
      </c>
      <c r="Y250" s="454">
        <f t="shared" si="362"/>
        <v>350</v>
      </c>
      <c r="AA250" s="223">
        <f t="shared" si="396"/>
        <v>0.56337482818035733</v>
      </c>
      <c r="AB250" s="179">
        <f t="shared" si="397"/>
        <v>1.0919017288444037</v>
      </c>
      <c r="AC250" s="179">
        <f t="shared" si="398"/>
        <v>0.10765124105357142</v>
      </c>
      <c r="AD250" s="179"/>
      <c r="AE250" s="179">
        <f t="shared" si="399"/>
        <v>0.56206185567010303</v>
      </c>
      <c r="AF250" s="563">
        <f t="shared" si="400"/>
        <v>458.90151036000725</v>
      </c>
      <c r="AG250" s="546">
        <f t="shared" si="401"/>
        <v>2.8524639175257726E-2</v>
      </c>
      <c r="AI250" s="179">
        <f t="shared" si="402"/>
        <v>0.33206547126078528</v>
      </c>
      <c r="AJ250" s="179">
        <f t="shared" si="403"/>
        <v>0.33206547126078528</v>
      </c>
      <c r="AK250" s="179">
        <f t="shared" si="404"/>
        <v>1.2311596083413223</v>
      </c>
      <c r="AM250" s="563">
        <f t="shared" si="405"/>
        <v>37.400000000000006</v>
      </c>
      <c r="AN250" s="472">
        <f t="shared" si="406"/>
        <v>350</v>
      </c>
      <c r="AP250">
        <f t="shared" si="407"/>
        <v>37.400000000000006</v>
      </c>
      <c r="AQ250">
        <f t="shared" si="408"/>
        <v>350</v>
      </c>
      <c r="AS250" s="6">
        <f t="shared" si="334"/>
        <v>2.8571428571428572</v>
      </c>
      <c r="AT250" s="6">
        <f t="shared" si="409"/>
        <v>1.0404718099504604</v>
      </c>
      <c r="AU250" s="6">
        <f t="shared" si="380"/>
        <v>1.8166710471923968</v>
      </c>
      <c r="AV250" s="6"/>
      <c r="AW250" s="179">
        <f t="shared" si="381"/>
        <v>0.36416513348266111</v>
      </c>
      <c r="AX250" s="179"/>
      <c r="CD250" s="581">
        <f t="shared" si="410"/>
        <v>-50</v>
      </c>
      <c r="CE250">
        <f t="shared" si="411"/>
        <v>-50</v>
      </c>
    </row>
    <row r="251" spans="5:83" x14ac:dyDescent="0.2">
      <c r="E251" s="176">
        <v>35</v>
      </c>
      <c r="F251" s="223">
        <f t="shared" si="412"/>
        <v>3.85E-2</v>
      </c>
      <c r="G251" s="223"/>
      <c r="H251" s="223">
        <f t="shared" si="382"/>
        <v>0.92399999999999993</v>
      </c>
      <c r="I251" s="559">
        <f t="shared" si="383"/>
        <v>15</v>
      </c>
      <c r="J251" s="454">
        <f t="shared" si="384"/>
        <v>24.25</v>
      </c>
      <c r="K251" s="454">
        <f t="shared" si="385"/>
        <v>39.25</v>
      </c>
      <c r="L251" s="454"/>
      <c r="M251" s="223">
        <f t="shared" si="386"/>
        <v>0.61783439490445857</v>
      </c>
      <c r="N251" s="178">
        <f t="shared" si="387"/>
        <v>6.3830015923566883</v>
      </c>
      <c r="O251" s="178">
        <f t="shared" si="333"/>
        <v>0.92399999999999993</v>
      </c>
      <c r="P251" s="223">
        <f t="shared" si="388"/>
        <v>0.26595839968152868</v>
      </c>
      <c r="Q251" s="223">
        <f t="shared" si="389"/>
        <v>24</v>
      </c>
      <c r="R251" s="223"/>
      <c r="S251" s="178">
        <f t="shared" si="390"/>
        <v>253.3589423890019</v>
      </c>
      <c r="T251" s="178">
        <f t="shared" si="391"/>
        <v>24</v>
      </c>
      <c r="U251" s="223">
        <f t="shared" si="392"/>
        <v>0.20990124796527401</v>
      </c>
      <c r="V251" s="223">
        <f t="shared" si="393"/>
        <v>0.65769057695785849</v>
      </c>
      <c r="W251" s="223">
        <f t="shared" si="394"/>
        <v>0.40681891358218053</v>
      </c>
      <c r="X251" s="203">
        <f t="shared" si="395"/>
        <v>350</v>
      </c>
      <c r="Y251" s="454">
        <f t="shared" si="362"/>
        <v>350</v>
      </c>
      <c r="AA251" s="223">
        <f t="shared" si="396"/>
        <v>0.56337482818035733</v>
      </c>
      <c r="AB251" s="179">
        <f t="shared" si="397"/>
        <v>1.0919017288444037</v>
      </c>
      <c r="AC251" s="179">
        <f t="shared" si="398"/>
        <v>0.10765124105357142</v>
      </c>
      <c r="AD251" s="179"/>
      <c r="AE251" s="179">
        <f t="shared" si="399"/>
        <v>0.56206185567010303</v>
      </c>
      <c r="AF251" s="563">
        <f t="shared" si="400"/>
        <v>472.39861360588975</v>
      </c>
      <c r="AG251" s="546">
        <f t="shared" si="401"/>
        <v>2.8524639175257726E-2</v>
      </c>
      <c r="AI251" s="179">
        <f t="shared" si="402"/>
        <v>0.33691339881024673</v>
      </c>
      <c r="AJ251" s="179">
        <f t="shared" si="403"/>
        <v>0.33691339881024673</v>
      </c>
      <c r="AK251" s="179">
        <f t="shared" si="404"/>
        <v>1.234750665785368</v>
      </c>
      <c r="AM251" s="563">
        <f t="shared" si="405"/>
        <v>38.5</v>
      </c>
      <c r="AN251" s="472">
        <f t="shared" si="406"/>
        <v>350</v>
      </c>
      <c r="AP251">
        <f t="shared" si="407"/>
        <v>38.5</v>
      </c>
      <c r="AQ251">
        <f t="shared" si="408"/>
        <v>350</v>
      </c>
      <c r="AS251" s="6">
        <f t="shared" si="334"/>
        <v>2.8571428571428572</v>
      </c>
      <c r="AT251" s="6">
        <f t="shared" si="409"/>
        <v>1.055661982938773</v>
      </c>
      <c r="AU251" s="6">
        <f t="shared" si="380"/>
        <v>1.8014808742040842</v>
      </c>
      <c r="AV251" s="6"/>
      <c r="AW251" s="179">
        <f t="shared" si="381"/>
        <v>0.36948169402857056</v>
      </c>
      <c r="AX251" s="179"/>
      <c r="CD251" s="581">
        <f t="shared" si="410"/>
        <v>-50</v>
      </c>
      <c r="CE251">
        <f t="shared" si="411"/>
        <v>-50</v>
      </c>
    </row>
    <row r="252" spans="5:83" x14ac:dyDescent="0.2">
      <c r="E252" s="176">
        <v>36</v>
      </c>
      <c r="F252" s="223">
        <f t="shared" si="412"/>
        <v>3.9599999999999996E-2</v>
      </c>
      <c r="G252" s="223"/>
      <c r="H252" s="223">
        <f t="shared" si="382"/>
        <v>0.95039999999999991</v>
      </c>
      <c r="I252" s="559">
        <f t="shared" si="383"/>
        <v>15</v>
      </c>
      <c r="J252" s="454">
        <f t="shared" si="384"/>
        <v>24.25</v>
      </c>
      <c r="K252" s="454">
        <f t="shared" si="385"/>
        <v>39.25</v>
      </c>
      <c r="L252" s="454"/>
      <c r="M252" s="223">
        <f t="shared" si="386"/>
        <v>0.61783439490445857</v>
      </c>
      <c r="N252" s="178">
        <f t="shared" si="387"/>
        <v>6.3830015923566883</v>
      </c>
      <c r="O252" s="178">
        <f t="shared" si="333"/>
        <v>0.95039999999999991</v>
      </c>
      <c r="P252" s="223">
        <f t="shared" si="388"/>
        <v>0.26595839968152868</v>
      </c>
      <c r="Q252" s="223">
        <f t="shared" si="389"/>
        <v>24</v>
      </c>
      <c r="R252" s="223"/>
      <c r="S252" s="178">
        <f t="shared" si="390"/>
        <v>245.90538579486426</v>
      </c>
      <c r="T252" s="178">
        <f t="shared" si="391"/>
        <v>24</v>
      </c>
      <c r="U252" s="223">
        <f t="shared" si="392"/>
        <v>0.21589842647856755</v>
      </c>
      <c r="V252" s="223">
        <f t="shared" si="393"/>
        <v>0.67648173629951158</v>
      </c>
      <c r="W252" s="223">
        <f t="shared" si="394"/>
        <v>0.41844231111310004</v>
      </c>
      <c r="X252" s="203">
        <f t="shared" si="395"/>
        <v>350</v>
      </c>
      <c r="Y252" s="454">
        <f t="shared" si="362"/>
        <v>350</v>
      </c>
      <c r="AA252" s="223">
        <f t="shared" si="396"/>
        <v>0.56337482818035733</v>
      </c>
      <c r="AB252" s="179">
        <f t="shared" si="397"/>
        <v>1.0919017288444037</v>
      </c>
      <c r="AC252" s="179">
        <f t="shared" si="398"/>
        <v>0.10765124105357142</v>
      </c>
      <c r="AD252" s="179"/>
      <c r="AE252" s="179">
        <f t="shared" si="399"/>
        <v>0.56206185567010303</v>
      </c>
      <c r="AF252" s="563">
        <f t="shared" si="400"/>
        <v>485.89571685177225</v>
      </c>
      <c r="AG252" s="546">
        <f t="shared" si="401"/>
        <v>2.8524639175257726E-2</v>
      </c>
      <c r="AI252" s="179">
        <f t="shared" si="402"/>
        <v>0.34169255097543061</v>
      </c>
      <c r="AJ252" s="179">
        <f t="shared" si="403"/>
        <v>0.34169255097543061</v>
      </c>
      <c r="AK252" s="179">
        <f t="shared" si="404"/>
        <v>1.238290778500319</v>
      </c>
      <c r="AM252" s="563">
        <f t="shared" si="405"/>
        <v>39.599999999999994</v>
      </c>
      <c r="AN252" s="472">
        <f t="shared" si="406"/>
        <v>350</v>
      </c>
      <c r="AP252">
        <f t="shared" si="407"/>
        <v>39.599999999999994</v>
      </c>
      <c r="AQ252">
        <f t="shared" si="408"/>
        <v>350</v>
      </c>
      <c r="AS252" s="6">
        <f t="shared" si="334"/>
        <v>2.8571428571428572</v>
      </c>
      <c r="AT252" s="6">
        <f t="shared" si="409"/>
        <v>1.0706366597230159</v>
      </c>
      <c r="AU252" s="6">
        <f t="shared" si="380"/>
        <v>1.7865061974198413</v>
      </c>
      <c r="AV252" s="6"/>
      <c r="AW252" s="179">
        <f t="shared" si="381"/>
        <v>0.37472283090305558</v>
      </c>
      <c r="AX252" s="179"/>
      <c r="CD252" s="581">
        <f t="shared" si="410"/>
        <v>-50</v>
      </c>
      <c r="CE252">
        <f t="shared" si="411"/>
        <v>-50</v>
      </c>
    </row>
    <row r="253" spans="5:83" x14ac:dyDescent="0.2">
      <c r="E253" s="176">
        <v>37</v>
      </c>
      <c r="F253" s="223">
        <f t="shared" si="412"/>
        <v>4.07E-2</v>
      </c>
      <c r="G253" s="223"/>
      <c r="H253" s="223">
        <f t="shared" si="382"/>
        <v>0.9768</v>
      </c>
      <c r="I253" s="559">
        <f t="shared" si="383"/>
        <v>15</v>
      </c>
      <c r="J253" s="454">
        <f t="shared" si="384"/>
        <v>24.25</v>
      </c>
      <c r="K253" s="454">
        <f t="shared" si="385"/>
        <v>39.25</v>
      </c>
      <c r="L253" s="454"/>
      <c r="M253" s="223">
        <f t="shared" si="386"/>
        <v>0.61783439490445857</v>
      </c>
      <c r="N253" s="178">
        <f t="shared" si="387"/>
        <v>6.3830015923566883</v>
      </c>
      <c r="O253" s="178">
        <f t="shared" si="333"/>
        <v>0.9768</v>
      </c>
      <c r="P253" s="223">
        <f t="shared" si="388"/>
        <v>0.26595839968152868</v>
      </c>
      <c r="Q253" s="223">
        <f t="shared" si="389"/>
        <v>24</v>
      </c>
      <c r="R253" s="223"/>
      <c r="S253" s="178">
        <f t="shared" si="390"/>
        <v>238.85474984180931</v>
      </c>
      <c r="T253" s="178">
        <f t="shared" si="391"/>
        <v>24</v>
      </c>
      <c r="U253" s="223">
        <f t="shared" si="392"/>
        <v>0.22189560499186112</v>
      </c>
      <c r="V253" s="223">
        <f t="shared" si="393"/>
        <v>0.69527289564116479</v>
      </c>
      <c r="W253" s="223">
        <f t="shared" si="394"/>
        <v>0.43006570864401944</v>
      </c>
      <c r="X253" s="203">
        <f t="shared" si="395"/>
        <v>350</v>
      </c>
      <c r="Y253" s="454">
        <f t="shared" si="362"/>
        <v>350</v>
      </c>
      <c r="AA253" s="223">
        <f t="shared" si="396"/>
        <v>0.56337482818035733</v>
      </c>
      <c r="AB253" s="179">
        <f t="shared" si="397"/>
        <v>1.0919017288444037</v>
      </c>
      <c r="AC253" s="179">
        <f t="shared" si="398"/>
        <v>0.10765124105357142</v>
      </c>
      <c r="AD253" s="179"/>
      <c r="AE253" s="179">
        <f t="shared" si="399"/>
        <v>0.56206185567010303</v>
      </c>
      <c r="AF253" s="563">
        <f t="shared" si="400"/>
        <v>499.39282009765486</v>
      </c>
      <c r="AG253" s="546">
        <f t="shared" si="401"/>
        <v>2.8524639175257726E-2</v>
      </c>
      <c r="AI253" s="179">
        <f t="shared" si="402"/>
        <v>0.34640577432589398</v>
      </c>
      <c r="AJ253" s="179">
        <f t="shared" si="403"/>
        <v>0.34640577432589398</v>
      </c>
      <c r="AK253" s="179">
        <f t="shared" si="404"/>
        <v>1.2417820550562177</v>
      </c>
      <c r="AM253" s="563">
        <f t="shared" si="405"/>
        <v>40.700000000000003</v>
      </c>
      <c r="AN253" s="472">
        <f t="shared" si="406"/>
        <v>350</v>
      </c>
      <c r="AP253">
        <f t="shared" si="407"/>
        <v>40.700000000000003</v>
      </c>
      <c r="AQ253">
        <f t="shared" si="408"/>
        <v>350</v>
      </c>
      <c r="AS253" s="6">
        <f t="shared" si="334"/>
        <v>2.8571428571428572</v>
      </c>
      <c r="AT253" s="6">
        <f t="shared" si="409"/>
        <v>1.0854047595544676</v>
      </c>
      <c r="AU253" s="6">
        <f t="shared" si="380"/>
        <v>1.7717380975883896</v>
      </c>
      <c r="AV253" s="6"/>
      <c r="AW253" s="179">
        <f t="shared" si="381"/>
        <v>0.37989166584406364</v>
      </c>
      <c r="AX253" s="179"/>
      <c r="CD253" s="581">
        <f t="shared" si="410"/>
        <v>-50</v>
      </c>
      <c r="CE253">
        <f t="shared" si="411"/>
        <v>-50</v>
      </c>
    </row>
    <row r="254" spans="5:83" x14ac:dyDescent="0.2">
      <c r="E254" s="176">
        <v>38</v>
      </c>
      <c r="F254" s="223">
        <f t="shared" si="412"/>
        <v>4.1800000000000004E-2</v>
      </c>
      <c r="G254" s="223"/>
      <c r="H254" s="223">
        <f t="shared" si="382"/>
        <v>1.0032000000000001</v>
      </c>
      <c r="I254" s="559">
        <f t="shared" si="383"/>
        <v>15</v>
      </c>
      <c r="J254" s="454">
        <f t="shared" si="384"/>
        <v>24.25</v>
      </c>
      <c r="K254" s="454">
        <f t="shared" si="385"/>
        <v>39.25</v>
      </c>
      <c r="L254" s="454"/>
      <c r="M254" s="223">
        <f t="shared" si="386"/>
        <v>0.61783439490445857</v>
      </c>
      <c r="N254" s="178">
        <f t="shared" si="387"/>
        <v>6.3830015923566883</v>
      </c>
      <c r="O254" s="178">
        <f t="shared" si="333"/>
        <v>1.0032000000000001</v>
      </c>
      <c r="P254" s="223">
        <f t="shared" si="388"/>
        <v>0.26595839968152868</v>
      </c>
      <c r="Q254" s="223">
        <f t="shared" si="389"/>
        <v>24</v>
      </c>
      <c r="R254" s="223"/>
      <c r="S254" s="178">
        <f t="shared" si="390"/>
        <v>232.17522513031363</v>
      </c>
      <c r="T254" s="178">
        <f t="shared" si="391"/>
        <v>24</v>
      </c>
      <c r="U254" s="223">
        <f t="shared" si="392"/>
        <v>0.22789278350515468</v>
      </c>
      <c r="V254" s="223">
        <f t="shared" si="393"/>
        <v>0.714064054982818</v>
      </c>
      <c r="W254" s="223">
        <f t="shared" si="394"/>
        <v>0.44168910617493895</v>
      </c>
      <c r="X254" s="203">
        <f t="shared" si="395"/>
        <v>350</v>
      </c>
      <c r="Y254" s="454">
        <f t="shared" si="362"/>
        <v>350</v>
      </c>
      <c r="AA254" s="223">
        <f t="shared" si="396"/>
        <v>0.56337482818035733</v>
      </c>
      <c r="AB254" s="179">
        <f t="shared" si="397"/>
        <v>1.0919017288444037</v>
      </c>
      <c r="AC254" s="179">
        <f t="shared" si="398"/>
        <v>0.10765124105357142</v>
      </c>
      <c r="AD254" s="179"/>
      <c r="AE254" s="179">
        <f t="shared" si="399"/>
        <v>0.56206185567010303</v>
      </c>
      <c r="AF254" s="563">
        <f t="shared" si="400"/>
        <v>512.88992334353748</v>
      </c>
      <c r="AG254" s="546">
        <f t="shared" si="401"/>
        <v>2.8524639175257726E-2</v>
      </c>
      <c r="AI254" s="179">
        <f t="shared" si="402"/>
        <v>0.35105572432385596</v>
      </c>
      <c r="AJ254" s="179">
        <f t="shared" si="403"/>
        <v>0.35105572432385596</v>
      </c>
      <c r="AK254" s="179">
        <f t="shared" si="404"/>
        <v>1.2452264624621154</v>
      </c>
      <c r="AM254" s="563">
        <f t="shared" si="405"/>
        <v>41.800000000000004</v>
      </c>
      <c r="AN254" s="472">
        <f t="shared" si="406"/>
        <v>350</v>
      </c>
      <c r="AP254">
        <f t="shared" si="407"/>
        <v>41.800000000000004</v>
      </c>
      <c r="AQ254">
        <f t="shared" si="408"/>
        <v>350</v>
      </c>
      <c r="AS254" s="6">
        <f t="shared" si="334"/>
        <v>2.8571428571428572</v>
      </c>
      <c r="AT254" s="6">
        <f t="shared" si="409"/>
        <v>1.099974602881415</v>
      </c>
      <c r="AU254" s="6">
        <f t="shared" si="380"/>
        <v>1.7571682542614422</v>
      </c>
      <c r="AV254" s="6"/>
      <c r="AW254" s="179">
        <f t="shared" si="381"/>
        <v>0.38499111100849526</v>
      </c>
      <c r="AX254" s="179"/>
      <c r="CD254" s="581">
        <f t="shared" si="410"/>
        <v>-50</v>
      </c>
      <c r="CE254">
        <f t="shared" si="411"/>
        <v>-50</v>
      </c>
    </row>
    <row r="255" spans="5:83" x14ac:dyDescent="0.2">
      <c r="E255" s="176">
        <v>39</v>
      </c>
      <c r="F255" s="223">
        <f t="shared" si="412"/>
        <v>4.2900000000000001E-2</v>
      </c>
      <c r="G255" s="223"/>
      <c r="H255" s="223">
        <f t="shared" si="382"/>
        <v>1.0296000000000001</v>
      </c>
      <c r="I255" s="559">
        <f t="shared" si="383"/>
        <v>15</v>
      </c>
      <c r="J255" s="454">
        <f t="shared" si="384"/>
        <v>24.25</v>
      </c>
      <c r="K255" s="454">
        <f t="shared" si="385"/>
        <v>39.25</v>
      </c>
      <c r="L255" s="454"/>
      <c r="M255" s="223">
        <f t="shared" si="386"/>
        <v>0.61783439490445857</v>
      </c>
      <c r="N255" s="178">
        <f t="shared" si="387"/>
        <v>6.3830015923566883</v>
      </c>
      <c r="O255" s="178">
        <f t="shared" si="333"/>
        <v>1.0296000000000001</v>
      </c>
      <c r="P255" s="223">
        <f t="shared" si="388"/>
        <v>0.26595839968152868</v>
      </c>
      <c r="Q255" s="223">
        <f t="shared" si="389"/>
        <v>24</v>
      </c>
      <c r="R255" s="223"/>
      <c r="S255" s="178">
        <f t="shared" si="390"/>
        <v>225.83826476416309</v>
      </c>
      <c r="T255" s="178">
        <f t="shared" si="391"/>
        <v>24</v>
      </c>
      <c r="U255" s="223">
        <f t="shared" si="392"/>
        <v>0.23388996201844822</v>
      </c>
      <c r="V255" s="223">
        <f t="shared" si="393"/>
        <v>0.73285521432447109</v>
      </c>
      <c r="W255" s="223">
        <f t="shared" si="394"/>
        <v>0.45331250370585841</v>
      </c>
      <c r="X255" s="203">
        <f t="shared" si="395"/>
        <v>350</v>
      </c>
      <c r="Y255" s="454">
        <f t="shared" si="362"/>
        <v>350</v>
      </c>
      <c r="AA255" s="223">
        <f t="shared" si="396"/>
        <v>0.56337482818035733</v>
      </c>
      <c r="AB255" s="179">
        <f t="shared" si="397"/>
        <v>1.0919017288444037</v>
      </c>
      <c r="AC255" s="179">
        <f t="shared" si="398"/>
        <v>0.10765124105357142</v>
      </c>
      <c r="AD255" s="179"/>
      <c r="AE255" s="179">
        <f t="shared" si="399"/>
        <v>0.56206185567010303</v>
      </c>
      <c r="AF255" s="563">
        <f t="shared" si="400"/>
        <v>526.38702658942009</v>
      </c>
      <c r="AG255" s="546">
        <f t="shared" si="401"/>
        <v>2.8524639175257726E-2</v>
      </c>
      <c r="AI255" s="179">
        <f t="shared" si="402"/>
        <v>0.35564488281820117</v>
      </c>
      <c r="AJ255" s="179">
        <f t="shared" si="403"/>
        <v>0.35564488281820117</v>
      </c>
      <c r="AK255" s="179">
        <f t="shared" si="404"/>
        <v>1.2486258391245935</v>
      </c>
      <c r="AM255" s="563">
        <f t="shared" si="405"/>
        <v>42.9</v>
      </c>
      <c r="AN255" s="472">
        <f t="shared" si="406"/>
        <v>350</v>
      </c>
      <c r="AP255">
        <f t="shared" si="407"/>
        <v>42.9</v>
      </c>
      <c r="AQ255">
        <f t="shared" si="408"/>
        <v>350</v>
      </c>
      <c r="AS255" s="6">
        <f t="shared" si="334"/>
        <v>2.8571428571428572</v>
      </c>
      <c r="AT255" s="6">
        <f t="shared" si="409"/>
        <v>1.1143539661636972</v>
      </c>
      <c r="AU255" s="6">
        <f t="shared" si="380"/>
        <v>1.74278889097916</v>
      </c>
      <c r="AV255" s="6"/>
      <c r="AW255" s="179">
        <f t="shared" si="381"/>
        <v>0.390023888157294</v>
      </c>
      <c r="AX255" s="179"/>
      <c r="CD255" s="581">
        <f t="shared" si="410"/>
        <v>-50</v>
      </c>
      <c r="CE255">
        <f t="shared" si="411"/>
        <v>-50</v>
      </c>
    </row>
    <row r="256" spans="5:83" x14ac:dyDescent="0.2">
      <c r="E256" s="176">
        <v>40</v>
      </c>
      <c r="F256" s="223">
        <f t="shared" si="412"/>
        <v>4.4000000000000004E-2</v>
      </c>
      <c r="G256" s="223"/>
      <c r="H256" s="223">
        <f t="shared" si="382"/>
        <v>1.056</v>
      </c>
      <c r="I256" s="559">
        <f t="shared" si="383"/>
        <v>15</v>
      </c>
      <c r="J256" s="454">
        <f t="shared" si="384"/>
        <v>24.25</v>
      </c>
      <c r="K256" s="454">
        <f t="shared" si="385"/>
        <v>39.25</v>
      </c>
      <c r="L256" s="454"/>
      <c r="M256" s="223">
        <f t="shared" si="386"/>
        <v>0.61783439490445857</v>
      </c>
      <c r="N256" s="178">
        <f t="shared" si="387"/>
        <v>6.3830015923566883</v>
      </c>
      <c r="O256" s="178">
        <f t="shared" si="333"/>
        <v>1.056</v>
      </c>
      <c r="P256" s="223">
        <f t="shared" si="388"/>
        <v>0.26595839968152868</v>
      </c>
      <c r="Q256" s="223">
        <f t="shared" si="389"/>
        <v>24</v>
      </c>
      <c r="R256" s="223"/>
      <c r="S256" s="178">
        <f t="shared" si="390"/>
        <v>219.81817653754516</v>
      </c>
      <c r="T256" s="178">
        <f t="shared" si="391"/>
        <v>24</v>
      </c>
      <c r="U256" s="223">
        <f t="shared" si="392"/>
        <v>0.23988714053174176</v>
      </c>
      <c r="V256" s="223">
        <f t="shared" si="393"/>
        <v>0.75164637366612408</v>
      </c>
      <c r="W256" s="223">
        <f t="shared" si="394"/>
        <v>0.4649359012367778</v>
      </c>
      <c r="X256" s="203">
        <f t="shared" si="395"/>
        <v>350</v>
      </c>
      <c r="Y256" s="454">
        <f t="shared" si="362"/>
        <v>350</v>
      </c>
      <c r="AA256" s="223">
        <f t="shared" si="396"/>
        <v>0.56337482818035733</v>
      </c>
      <c r="AB256" s="179">
        <f t="shared" si="397"/>
        <v>1.0919017288444037</v>
      </c>
      <c r="AC256" s="179">
        <f t="shared" si="398"/>
        <v>0.10765124105357142</v>
      </c>
      <c r="AD256" s="179"/>
      <c r="AE256" s="179">
        <f t="shared" si="399"/>
        <v>0.56206185567010303</v>
      </c>
      <c r="AF256" s="563">
        <f t="shared" si="400"/>
        <v>539.88412983530259</v>
      </c>
      <c r="AG256" s="546">
        <f t="shared" si="401"/>
        <v>2.8524639175257726E-2</v>
      </c>
      <c r="AI256" s="179">
        <f t="shared" si="402"/>
        <v>0.36017557353184987</v>
      </c>
      <c r="AJ256" s="179">
        <f t="shared" si="403"/>
        <v>0.36017557353184987</v>
      </c>
      <c r="AK256" s="179">
        <f t="shared" si="404"/>
        <v>1.2519819063198887</v>
      </c>
      <c r="AM256" s="563">
        <f t="shared" si="405"/>
        <v>44.000000000000007</v>
      </c>
      <c r="AN256" s="472">
        <f t="shared" si="406"/>
        <v>350</v>
      </c>
      <c r="AP256">
        <f t="shared" si="407"/>
        <v>44.000000000000007</v>
      </c>
      <c r="AQ256">
        <f t="shared" si="408"/>
        <v>350</v>
      </c>
      <c r="AS256" s="6">
        <f t="shared" si="334"/>
        <v>2.8571428571428572</v>
      </c>
      <c r="AT256" s="6">
        <f t="shared" si="409"/>
        <v>1.1285501303997962</v>
      </c>
      <c r="AU256" s="6">
        <f t="shared" si="380"/>
        <v>1.728592726743061</v>
      </c>
      <c r="AV256" s="6"/>
      <c r="AW256" s="179">
        <f t="shared" si="381"/>
        <v>0.39499254563992869</v>
      </c>
      <c r="AX256" s="179"/>
      <c r="CD256" s="581">
        <f t="shared" si="410"/>
        <v>-50</v>
      </c>
      <c r="CE256">
        <f t="shared" si="411"/>
        <v>-50</v>
      </c>
    </row>
    <row r="257" spans="5:83" x14ac:dyDescent="0.2">
      <c r="E257" s="176">
        <v>41</v>
      </c>
      <c r="F257" s="223">
        <f t="shared" si="412"/>
        <v>4.5099999999999994E-2</v>
      </c>
      <c r="G257" s="223"/>
      <c r="H257" s="223">
        <f t="shared" si="382"/>
        <v>1.0823999999999998</v>
      </c>
      <c r="I257" s="559">
        <f t="shared" si="383"/>
        <v>15</v>
      </c>
      <c r="J257" s="454">
        <f t="shared" si="384"/>
        <v>24.25</v>
      </c>
      <c r="K257" s="454">
        <f t="shared" si="385"/>
        <v>39.25</v>
      </c>
      <c r="L257" s="454"/>
      <c r="M257" s="223">
        <f t="shared" si="386"/>
        <v>0.61783439490445857</v>
      </c>
      <c r="N257" s="178">
        <f t="shared" si="387"/>
        <v>6.3830015923566883</v>
      </c>
      <c r="O257" s="178">
        <f t="shared" si="333"/>
        <v>1.0823999999999998</v>
      </c>
      <c r="P257" s="223">
        <f t="shared" si="388"/>
        <v>0.26595839968152868</v>
      </c>
      <c r="Q257" s="223">
        <f t="shared" si="389"/>
        <v>24</v>
      </c>
      <c r="R257" s="223"/>
      <c r="S257" s="178">
        <f t="shared" si="390"/>
        <v>214.09177480207939</v>
      </c>
      <c r="T257" s="178">
        <f t="shared" si="391"/>
        <v>24</v>
      </c>
      <c r="U257" s="223">
        <f t="shared" si="392"/>
        <v>0.24588431904503527</v>
      </c>
      <c r="V257" s="223">
        <f t="shared" si="393"/>
        <v>0.77043753300777718</v>
      </c>
      <c r="W257" s="223">
        <f t="shared" si="394"/>
        <v>0.4765592987676972</v>
      </c>
      <c r="X257" s="203">
        <f t="shared" si="395"/>
        <v>350</v>
      </c>
      <c r="Y257" s="454">
        <f t="shared" si="362"/>
        <v>350</v>
      </c>
      <c r="AA257" s="223">
        <f t="shared" si="396"/>
        <v>0.56337482818035733</v>
      </c>
      <c r="AB257" s="179">
        <f t="shared" si="397"/>
        <v>1.0919017288444037</v>
      </c>
      <c r="AC257" s="179">
        <f t="shared" si="398"/>
        <v>0.10765124105357142</v>
      </c>
      <c r="AD257" s="179"/>
      <c r="AE257" s="179">
        <f t="shared" si="399"/>
        <v>0.56206185567010303</v>
      </c>
      <c r="AF257" s="563">
        <f t="shared" si="400"/>
        <v>553.38123308118497</v>
      </c>
      <c r="AG257" s="546">
        <f t="shared" si="401"/>
        <v>2.8524639175257726E-2</v>
      </c>
      <c r="AI257" s="179">
        <f t="shared" si="402"/>
        <v>0.36464997581683983</v>
      </c>
      <c r="AJ257" s="179">
        <f t="shared" si="403"/>
        <v>0.36464997581683983</v>
      </c>
      <c r="AK257" s="179">
        <f t="shared" si="404"/>
        <v>1.2552962783828443</v>
      </c>
      <c r="AM257" s="563">
        <f t="shared" si="405"/>
        <v>45.099999999999994</v>
      </c>
      <c r="AN257" s="472">
        <f t="shared" si="406"/>
        <v>350</v>
      </c>
      <c r="AP257">
        <f t="shared" si="407"/>
        <v>45.099999999999994</v>
      </c>
      <c r="AQ257">
        <f t="shared" si="408"/>
        <v>350</v>
      </c>
      <c r="AS257" s="6">
        <f t="shared" si="334"/>
        <v>2.8571428571428572</v>
      </c>
      <c r="AT257" s="6">
        <f t="shared" si="409"/>
        <v>1.142569924226098</v>
      </c>
      <c r="AU257" s="6">
        <f t="shared" si="380"/>
        <v>1.7145729329167592</v>
      </c>
      <c r="AV257" s="6"/>
      <c r="AW257" s="179">
        <f t="shared" si="381"/>
        <v>0.39989947347913429</v>
      </c>
      <c r="AX257" s="179"/>
      <c r="CD257" s="581">
        <f t="shared" si="410"/>
        <v>-50</v>
      </c>
      <c r="CE257">
        <f t="shared" si="411"/>
        <v>-50</v>
      </c>
    </row>
    <row r="258" spans="5:83" x14ac:dyDescent="0.2">
      <c r="E258" s="176">
        <v>42</v>
      </c>
      <c r="F258" s="223">
        <f t="shared" si="412"/>
        <v>4.6199999999999998E-2</v>
      </c>
      <c r="G258" s="223"/>
      <c r="H258" s="223">
        <f t="shared" si="382"/>
        <v>1.1088</v>
      </c>
      <c r="I258" s="559">
        <f t="shared" si="383"/>
        <v>15</v>
      </c>
      <c r="J258" s="454">
        <f t="shared" si="384"/>
        <v>24.25</v>
      </c>
      <c r="K258" s="454">
        <f t="shared" si="385"/>
        <v>39.25</v>
      </c>
      <c r="L258" s="454"/>
      <c r="M258" s="223">
        <f t="shared" si="386"/>
        <v>0.61783439490445857</v>
      </c>
      <c r="N258" s="178">
        <f t="shared" si="387"/>
        <v>6.3830015923566883</v>
      </c>
      <c r="O258" s="178">
        <f t="shared" si="333"/>
        <v>1.1088</v>
      </c>
      <c r="P258" s="223">
        <f t="shared" si="388"/>
        <v>0.26595839968152868</v>
      </c>
      <c r="Q258" s="223">
        <f t="shared" si="389"/>
        <v>24</v>
      </c>
      <c r="R258" s="223"/>
      <c r="S258" s="178">
        <f t="shared" si="390"/>
        <v>208.63808206712881</v>
      </c>
      <c r="T258" s="178">
        <f t="shared" si="391"/>
        <v>24</v>
      </c>
      <c r="U258" s="223">
        <f t="shared" si="392"/>
        <v>0.25188149755832884</v>
      </c>
      <c r="V258" s="223">
        <f t="shared" si="393"/>
        <v>0.78922869234943027</v>
      </c>
      <c r="W258" s="223">
        <f t="shared" si="394"/>
        <v>0.48818269629861666</v>
      </c>
      <c r="X258" s="203">
        <f t="shared" si="395"/>
        <v>350</v>
      </c>
      <c r="Y258" s="454">
        <f t="shared" si="362"/>
        <v>350</v>
      </c>
      <c r="AA258" s="223">
        <f t="shared" si="396"/>
        <v>0.56337482818035733</v>
      </c>
      <c r="AB258" s="179">
        <f t="shared" si="397"/>
        <v>1.0919017288444037</v>
      </c>
      <c r="AC258" s="179">
        <f t="shared" si="398"/>
        <v>0.10765124105357142</v>
      </c>
      <c r="AD258" s="179"/>
      <c r="AE258" s="179">
        <f t="shared" si="399"/>
        <v>0.56206185567010303</v>
      </c>
      <c r="AF258" s="563">
        <f t="shared" si="400"/>
        <v>566.8783363270677</v>
      </c>
      <c r="AG258" s="546">
        <f t="shared" si="401"/>
        <v>2.8524639175257726E-2</v>
      </c>
      <c r="AI258" s="179">
        <f t="shared" si="402"/>
        <v>0.36907013690821266</v>
      </c>
      <c r="AJ258" s="179">
        <f t="shared" si="403"/>
        <v>0.36907013690821266</v>
      </c>
      <c r="AK258" s="179">
        <f t="shared" si="404"/>
        <v>1.2585704717838613</v>
      </c>
      <c r="AM258" s="563">
        <f t="shared" si="405"/>
        <v>46.199999999999996</v>
      </c>
      <c r="AN258" s="472">
        <f t="shared" si="406"/>
        <v>350</v>
      </c>
      <c r="AP258">
        <f t="shared" si="407"/>
        <v>46.199999999999996</v>
      </c>
      <c r="AQ258">
        <f t="shared" si="408"/>
        <v>350</v>
      </c>
      <c r="AS258" s="6">
        <f t="shared" si="334"/>
        <v>2.8571428571428572</v>
      </c>
      <c r="AT258" s="6">
        <f t="shared" si="409"/>
        <v>1.1564197623123997</v>
      </c>
      <c r="AU258" s="6">
        <f t="shared" si="380"/>
        <v>1.7007230948304575</v>
      </c>
      <c r="AV258" s="6"/>
      <c r="AW258" s="179">
        <f t="shared" si="381"/>
        <v>0.40474691680933989</v>
      </c>
      <c r="AX258" s="179"/>
      <c r="CD258" s="581">
        <f t="shared" si="410"/>
        <v>-50</v>
      </c>
      <c r="CE258">
        <f t="shared" si="411"/>
        <v>-50</v>
      </c>
    </row>
    <row r="259" spans="5:83" x14ac:dyDescent="0.2">
      <c r="E259" s="176">
        <v>43</v>
      </c>
      <c r="F259" s="223">
        <f t="shared" si="412"/>
        <v>4.7300000000000002E-2</v>
      </c>
      <c r="G259" s="223"/>
      <c r="H259" s="223">
        <f t="shared" si="382"/>
        <v>1.1352</v>
      </c>
      <c r="I259" s="559">
        <f t="shared" si="383"/>
        <v>15</v>
      </c>
      <c r="J259" s="454">
        <f t="shared" si="384"/>
        <v>24.25</v>
      </c>
      <c r="K259" s="454">
        <f t="shared" si="385"/>
        <v>39.25</v>
      </c>
      <c r="L259" s="454"/>
      <c r="M259" s="223">
        <f t="shared" si="386"/>
        <v>0.61783439490445857</v>
      </c>
      <c r="N259" s="178">
        <f t="shared" si="387"/>
        <v>6.3830015923566883</v>
      </c>
      <c r="O259" s="178">
        <f t="shared" si="333"/>
        <v>1.1352</v>
      </c>
      <c r="P259" s="223">
        <f t="shared" si="388"/>
        <v>0.26595839968152868</v>
      </c>
      <c r="Q259" s="223">
        <f t="shared" si="389"/>
        <v>24</v>
      </c>
      <c r="R259" s="223"/>
      <c r="S259" s="178">
        <f t="shared" si="390"/>
        <v>203.43807223727805</v>
      </c>
      <c r="T259" s="178">
        <f t="shared" si="391"/>
        <v>24</v>
      </c>
      <c r="U259" s="223">
        <f t="shared" si="392"/>
        <v>0.2578786760716224</v>
      </c>
      <c r="V259" s="223">
        <f t="shared" si="393"/>
        <v>0.80801985169108348</v>
      </c>
      <c r="W259" s="223">
        <f t="shared" si="394"/>
        <v>0.49980609382953617</v>
      </c>
      <c r="X259" s="203">
        <f t="shared" si="395"/>
        <v>350</v>
      </c>
      <c r="Y259" s="454">
        <f t="shared" si="362"/>
        <v>350</v>
      </c>
      <c r="AA259" s="223">
        <f t="shared" si="396"/>
        <v>0.56337482818035733</v>
      </c>
      <c r="AB259" s="179">
        <f t="shared" si="397"/>
        <v>1.0919017288444037</v>
      </c>
      <c r="AC259" s="179">
        <f t="shared" si="398"/>
        <v>0.10765124105357142</v>
      </c>
      <c r="AD259" s="179"/>
      <c r="AE259" s="179">
        <f t="shared" si="399"/>
        <v>0.56206185567010303</v>
      </c>
      <c r="AF259" s="563">
        <f t="shared" si="400"/>
        <v>580.3754395729502</v>
      </c>
      <c r="AG259" s="546">
        <f t="shared" si="401"/>
        <v>2.8524639175257726E-2</v>
      </c>
      <c r="AI259" s="179">
        <f t="shared" si="402"/>
        <v>0.37343798287221902</v>
      </c>
      <c r="AJ259" s="179">
        <f t="shared" si="403"/>
        <v>0.37343798287221902</v>
      </c>
      <c r="AK259" s="179">
        <f t="shared" si="404"/>
        <v>1.2618059132386807</v>
      </c>
      <c r="AM259" s="563">
        <f t="shared" si="405"/>
        <v>47.300000000000004</v>
      </c>
      <c r="AN259" s="472">
        <f t="shared" si="406"/>
        <v>350</v>
      </c>
      <c r="AP259">
        <f t="shared" si="407"/>
        <v>47.300000000000004</v>
      </c>
      <c r="AQ259">
        <f t="shared" si="408"/>
        <v>350</v>
      </c>
      <c r="AS259" s="6">
        <f t="shared" si="334"/>
        <v>2.8571428571428572</v>
      </c>
      <c r="AT259" s="6">
        <f t="shared" si="409"/>
        <v>1.1701056796662861</v>
      </c>
      <c r="AU259" s="6">
        <f t="shared" si="380"/>
        <v>1.6870371774765711</v>
      </c>
      <c r="AV259" s="6"/>
      <c r="AW259" s="179">
        <f t="shared" si="381"/>
        <v>0.40953698788320014</v>
      </c>
      <c r="AX259" s="179"/>
      <c r="CD259" s="581">
        <f t="shared" si="410"/>
        <v>-50</v>
      </c>
      <c r="CE259">
        <f t="shared" si="411"/>
        <v>-50</v>
      </c>
    </row>
    <row r="260" spans="5:83" x14ac:dyDescent="0.2">
      <c r="E260" s="176">
        <v>44</v>
      </c>
      <c r="F260" s="223">
        <f t="shared" si="412"/>
        <v>4.8399999999999999E-2</v>
      </c>
      <c r="G260" s="223"/>
      <c r="H260" s="223">
        <f t="shared" si="382"/>
        <v>1.1616</v>
      </c>
      <c r="I260" s="559">
        <f t="shared" si="383"/>
        <v>15</v>
      </c>
      <c r="J260" s="454">
        <f t="shared" si="384"/>
        <v>24.25</v>
      </c>
      <c r="K260" s="454">
        <f t="shared" si="385"/>
        <v>39.25</v>
      </c>
      <c r="L260" s="454"/>
      <c r="M260" s="223">
        <f t="shared" si="386"/>
        <v>0.61783439490445857</v>
      </c>
      <c r="N260" s="178">
        <f t="shared" si="387"/>
        <v>6.3830015923566883</v>
      </c>
      <c r="O260" s="178">
        <f t="shared" si="333"/>
        <v>1.1616</v>
      </c>
      <c r="P260" s="223">
        <f t="shared" si="388"/>
        <v>0.26595839968152868</v>
      </c>
      <c r="Q260" s="223">
        <f t="shared" si="389"/>
        <v>24</v>
      </c>
      <c r="R260" s="223"/>
      <c r="S260" s="178">
        <f t="shared" si="390"/>
        <v>198.47444886288179</v>
      </c>
      <c r="T260" s="178">
        <f t="shared" si="391"/>
        <v>24</v>
      </c>
      <c r="U260" s="223">
        <f t="shared" si="392"/>
        <v>0.26387585458491591</v>
      </c>
      <c r="V260" s="223">
        <f t="shared" si="393"/>
        <v>0.82681101103273658</v>
      </c>
      <c r="W260" s="223">
        <f t="shared" si="394"/>
        <v>0.51142949136045568</v>
      </c>
      <c r="X260" s="203">
        <f t="shared" si="395"/>
        <v>350</v>
      </c>
      <c r="Y260" s="454">
        <f t="shared" si="362"/>
        <v>350</v>
      </c>
      <c r="AA260" s="223">
        <f t="shared" si="396"/>
        <v>0.56337482818035733</v>
      </c>
      <c r="AB260" s="179">
        <f t="shared" si="397"/>
        <v>1.0919017288444037</v>
      </c>
      <c r="AC260" s="179">
        <f t="shared" si="398"/>
        <v>0.10765124105357142</v>
      </c>
      <c r="AD260" s="179"/>
      <c r="AE260" s="179">
        <f t="shared" si="399"/>
        <v>0.56206185567010303</v>
      </c>
      <c r="AF260" s="563">
        <f t="shared" si="400"/>
        <v>593.87254281883281</v>
      </c>
      <c r="AG260" s="546">
        <f t="shared" si="401"/>
        <v>2.8524639175257726E-2</v>
      </c>
      <c r="AI260" s="179">
        <f t="shared" si="402"/>
        <v>0.37775532841496312</v>
      </c>
      <c r="AJ260" s="179">
        <f t="shared" si="403"/>
        <v>0.37775532841496312</v>
      </c>
      <c r="AK260" s="179">
        <f t="shared" si="404"/>
        <v>1.2650039469740468</v>
      </c>
      <c r="AM260" s="563">
        <f t="shared" si="405"/>
        <v>48.4</v>
      </c>
      <c r="AN260" s="472">
        <f t="shared" si="406"/>
        <v>350</v>
      </c>
      <c r="AP260">
        <f t="shared" si="407"/>
        <v>48.4</v>
      </c>
      <c r="AQ260">
        <f t="shared" si="408"/>
        <v>350</v>
      </c>
      <c r="AS260" s="6">
        <f t="shared" si="334"/>
        <v>2.8571428571428572</v>
      </c>
      <c r="AT260" s="6">
        <f t="shared" si="409"/>
        <v>1.1836333623668844</v>
      </c>
      <c r="AU260" s="6">
        <f t="shared" si="380"/>
        <v>1.6735094947759728</v>
      </c>
      <c r="AV260" s="6"/>
      <c r="AW260" s="179">
        <f t="shared" si="381"/>
        <v>0.41427167682840954</v>
      </c>
      <c r="AX260" s="179"/>
      <c r="CD260" s="581">
        <f t="shared" si="410"/>
        <v>-50</v>
      </c>
      <c r="CE260">
        <f t="shared" si="411"/>
        <v>-50</v>
      </c>
    </row>
    <row r="261" spans="5:83" x14ac:dyDescent="0.2">
      <c r="E261" s="176">
        <v>45</v>
      </c>
      <c r="F261" s="223">
        <f t="shared" si="412"/>
        <v>4.9500000000000002E-2</v>
      </c>
      <c r="G261" s="223"/>
      <c r="H261" s="223">
        <f t="shared" si="382"/>
        <v>1.1880000000000002</v>
      </c>
      <c r="I261" s="559">
        <f t="shared" si="383"/>
        <v>15</v>
      </c>
      <c r="J261" s="454">
        <f t="shared" si="384"/>
        <v>24.25</v>
      </c>
      <c r="K261" s="454">
        <f t="shared" si="385"/>
        <v>39.25</v>
      </c>
      <c r="L261" s="454"/>
      <c r="M261" s="223">
        <f t="shared" si="386"/>
        <v>0.61783439490445857</v>
      </c>
      <c r="N261" s="178">
        <f t="shared" si="387"/>
        <v>6.3830015923566883</v>
      </c>
      <c r="O261" s="178">
        <f t="shared" si="333"/>
        <v>1.1880000000000002</v>
      </c>
      <c r="P261" s="223">
        <f t="shared" si="388"/>
        <v>0.26595839968152868</v>
      </c>
      <c r="Q261" s="223">
        <f t="shared" si="389"/>
        <v>24</v>
      </c>
      <c r="R261" s="223"/>
      <c r="S261" s="178">
        <f t="shared" si="390"/>
        <v>193.73145295720727</v>
      </c>
      <c r="T261" s="178">
        <f t="shared" si="391"/>
        <v>24</v>
      </c>
      <c r="U261" s="223">
        <f t="shared" si="392"/>
        <v>0.26987303309820954</v>
      </c>
      <c r="V261" s="223">
        <f t="shared" si="393"/>
        <v>0.84560217037438989</v>
      </c>
      <c r="W261" s="223">
        <f t="shared" si="394"/>
        <v>0.52305288889137513</v>
      </c>
      <c r="X261" s="203">
        <f t="shared" si="395"/>
        <v>350</v>
      </c>
      <c r="Y261" s="454">
        <f t="shared" si="362"/>
        <v>350</v>
      </c>
      <c r="AA261" s="223">
        <f t="shared" si="396"/>
        <v>0.56337482818035733</v>
      </c>
      <c r="AB261" s="179">
        <f t="shared" si="397"/>
        <v>1.0919017288444037</v>
      </c>
      <c r="AC261" s="179">
        <f t="shared" si="398"/>
        <v>0.10765124105357142</v>
      </c>
      <c r="AD261" s="179"/>
      <c r="AE261" s="179">
        <f t="shared" si="399"/>
        <v>0.56206185567010303</v>
      </c>
      <c r="AF261" s="563">
        <f t="shared" si="400"/>
        <v>607.36964606471543</v>
      </c>
      <c r="AG261" s="546">
        <f t="shared" si="401"/>
        <v>2.8524639175257726E-2</v>
      </c>
      <c r="AI261" s="179">
        <f t="shared" si="402"/>
        <v>0.38202388569318751</v>
      </c>
      <c r="AJ261" s="179">
        <f t="shared" si="403"/>
        <v>0.38202388569318751</v>
      </c>
      <c r="AK261" s="179">
        <f t="shared" si="404"/>
        <v>1.2681658412542129</v>
      </c>
      <c r="AM261" s="563">
        <f t="shared" si="405"/>
        <v>49.5</v>
      </c>
      <c r="AN261" s="472">
        <f t="shared" si="406"/>
        <v>350</v>
      </c>
      <c r="AP261">
        <f t="shared" si="407"/>
        <v>49.5</v>
      </c>
      <c r="AQ261">
        <f t="shared" si="408"/>
        <v>350</v>
      </c>
      <c r="AS261" s="6">
        <f t="shared" si="334"/>
        <v>2.8571428571428572</v>
      </c>
      <c r="AT261" s="6">
        <f t="shared" si="409"/>
        <v>1.1970081751719877</v>
      </c>
      <c r="AU261" s="6">
        <f t="shared" si="380"/>
        <v>1.6601346819708696</v>
      </c>
      <c r="AV261" s="6"/>
      <c r="AW261" s="179">
        <f t="shared" si="381"/>
        <v>0.41895286131019566</v>
      </c>
      <c r="AX261" s="179"/>
      <c r="CD261" s="581">
        <f t="shared" si="410"/>
        <v>-50</v>
      </c>
      <c r="CE261">
        <f t="shared" si="411"/>
        <v>-50</v>
      </c>
    </row>
    <row r="262" spans="5:83" x14ac:dyDescent="0.2">
      <c r="E262" s="176">
        <v>46</v>
      </c>
      <c r="F262" s="223">
        <f t="shared" si="412"/>
        <v>5.0599999999999999E-2</v>
      </c>
      <c r="G262" s="223"/>
      <c r="H262" s="223">
        <f t="shared" si="382"/>
        <v>1.2143999999999999</v>
      </c>
      <c r="I262" s="559">
        <f t="shared" si="383"/>
        <v>15</v>
      </c>
      <c r="J262" s="454">
        <f t="shared" si="384"/>
        <v>24.25</v>
      </c>
      <c r="K262" s="454">
        <f t="shared" si="385"/>
        <v>39.25</v>
      </c>
      <c r="L262" s="454"/>
      <c r="M262" s="223">
        <f t="shared" si="386"/>
        <v>0.61783439490445857</v>
      </c>
      <c r="N262" s="178">
        <f t="shared" si="387"/>
        <v>6.3830015923566883</v>
      </c>
      <c r="O262" s="178">
        <f t="shared" ref="O262:O316" si="413">T262*F262</f>
        <v>1.2143999999999999</v>
      </c>
      <c r="P262" s="223">
        <f t="shared" si="388"/>
        <v>0.26595839968152868</v>
      </c>
      <c r="Q262" s="223">
        <f t="shared" si="389"/>
        <v>24</v>
      </c>
      <c r="R262" s="223"/>
      <c r="S262" s="178">
        <f t="shared" si="390"/>
        <v>189.19469588090624</v>
      </c>
      <c r="T262" s="178">
        <f t="shared" si="391"/>
        <v>24</v>
      </c>
      <c r="U262" s="223">
        <f t="shared" si="392"/>
        <v>0.27587021161150299</v>
      </c>
      <c r="V262" s="223">
        <f t="shared" si="393"/>
        <v>0.86439332971604266</v>
      </c>
      <c r="W262" s="223">
        <f t="shared" si="394"/>
        <v>0.53467628642229437</v>
      </c>
      <c r="X262" s="203">
        <f t="shared" si="395"/>
        <v>350</v>
      </c>
      <c r="Y262" s="454">
        <f t="shared" si="362"/>
        <v>350</v>
      </c>
      <c r="AA262" s="223">
        <f t="shared" si="396"/>
        <v>0.56337482818035733</v>
      </c>
      <c r="AB262" s="179">
        <f t="shared" si="397"/>
        <v>1.0919017288444037</v>
      </c>
      <c r="AC262" s="179">
        <f t="shared" si="398"/>
        <v>0.10765124105357142</v>
      </c>
      <c r="AD262" s="179"/>
      <c r="AE262" s="179">
        <f t="shared" si="399"/>
        <v>0.56206185567010303</v>
      </c>
      <c r="AF262" s="563">
        <f t="shared" si="400"/>
        <v>620.86674931059792</v>
      </c>
      <c r="AG262" s="546">
        <f t="shared" si="401"/>
        <v>2.8524639175257726E-2</v>
      </c>
      <c r="AI262" s="179">
        <f t="shared" si="402"/>
        <v>0.38624527224853705</v>
      </c>
      <c r="AJ262" s="179">
        <f t="shared" si="403"/>
        <v>0.38624527224853705</v>
      </c>
      <c r="AK262" s="179">
        <f t="shared" si="404"/>
        <v>1.2712927942581755</v>
      </c>
      <c r="AM262" s="563">
        <f t="shared" si="405"/>
        <v>50.6</v>
      </c>
      <c r="AN262" s="472">
        <f t="shared" si="406"/>
        <v>350</v>
      </c>
      <c r="AP262">
        <f t="shared" si="407"/>
        <v>50.6</v>
      </c>
      <c r="AQ262">
        <f t="shared" si="408"/>
        <v>350</v>
      </c>
      <c r="AS262" s="6">
        <f t="shared" si="334"/>
        <v>2.8571428571428572</v>
      </c>
      <c r="AT262" s="6">
        <f t="shared" si="409"/>
        <v>1.2102351863787495</v>
      </c>
      <c r="AU262" s="6">
        <f t="shared" si="380"/>
        <v>1.6469076707641077</v>
      </c>
      <c r="AV262" s="6"/>
      <c r="AW262" s="179">
        <f t="shared" si="381"/>
        <v>0.42358231523256229</v>
      </c>
      <c r="AX262" s="179"/>
      <c r="CD262" s="581">
        <f t="shared" si="410"/>
        <v>-50</v>
      </c>
      <c r="CE262">
        <f t="shared" si="411"/>
        <v>-50</v>
      </c>
    </row>
    <row r="263" spans="5:83" x14ac:dyDescent="0.2">
      <c r="E263" s="176">
        <v>47</v>
      </c>
      <c r="F263" s="223">
        <f t="shared" si="412"/>
        <v>5.1699999999999996E-2</v>
      </c>
      <c r="G263" s="223"/>
      <c r="H263" s="223">
        <f t="shared" si="382"/>
        <v>1.2407999999999999</v>
      </c>
      <c r="I263" s="559">
        <f t="shared" si="383"/>
        <v>15</v>
      </c>
      <c r="J263" s="454">
        <f t="shared" si="384"/>
        <v>24.25</v>
      </c>
      <c r="K263" s="454">
        <f t="shared" si="385"/>
        <v>39.25</v>
      </c>
      <c r="L263" s="454"/>
      <c r="M263" s="223">
        <f t="shared" si="386"/>
        <v>0.61783439490445857</v>
      </c>
      <c r="N263" s="178">
        <f t="shared" si="387"/>
        <v>6.3830015923566883</v>
      </c>
      <c r="O263" s="178">
        <f t="shared" si="413"/>
        <v>1.2407999999999999</v>
      </c>
      <c r="P263" s="223">
        <f t="shared" si="388"/>
        <v>0.26595839968152868</v>
      </c>
      <c r="Q263" s="223">
        <f t="shared" si="389"/>
        <v>24</v>
      </c>
      <c r="R263" s="223"/>
      <c r="S263" s="178">
        <f t="shared" si="390"/>
        <v>184.85101356038356</v>
      </c>
      <c r="T263" s="178">
        <f t="shared" si="391"/>
        <v>24</v>
      </c>
      <c r="U263" s="223">
        <f t="shared" si="392"/>
        <v>0.28186739012479656</v>
      </c>
      <c r="V263" s="223">
        <f t="shared" si="393"/>
        <v>0.88318448905769575</v>
      </c>
      <c r="W263" s="223">
        <f t="shared" si="394"/>
        <v>0.54629968395321393</v>
      </c>
      <c r="X263" s="203">
        <f t="shared" si="395"/>
        <v>350</v>
      </c>
      <c r="Y263" s="454">
        <f t="shared" si="362"/>
        <v>350</v>
      </c>
      <c r="AA263" s="223">
        <f t="shared" si="396"/>
        <v>0.56337482818035733</v>
      </c>
      <c r="AB263" s="179">
        <f t="shared" si="397"/>
        <v>1.0919017288444037</v>
      </c>
      <c r="AC263" s="179">
        <f t="shared" si="398"/>
        <v>0.10765124105357142</v>
      </c>
      <c r="AD263" s="179"/>
      <c r="AE263" s="179">
        <f t="shared" si="399"/>
        <v>0.56206185567010303</v>
      </c>
      <c r="AF263" s="563">
        <f t="shared" si="400"/>
        <v>634.36385255648042</v>
      </c>
      <c r="AG263" s="546">
        <f t="shared" si="401"/>
        <v>2.8524639175257726E-2</v>
      </c>
      <c r="AI263" s="179">
        <f t="shared" si="402"/>
        <v>0.39042101816957991</v>
      </c>
      <c r="AJ263" s="179">
        <f t="shared" si="403"/>
        <v>0.39042101816957991</v>
      </c>
      <c r="AK263" s="179">
        <f t="shared" si="404"/>
        <v>1.274385939384874</v>
      </c>
      <c r="AM263" s="563">
        <f t="shared" si="405"/>
        <v>51.699999999999996</v>
      </c>
      <c r="AN263" s="472">
        <f t="shared" si="406"/>
        <v>350</v>
      </c>
      <c r="AP263">
        <f t="shared" si="407"/>
        <v>51.699999999999996</v>
      </c>
      <c r="AQ263">
        <f t="shared" si="408"/>
        <v>350</v>
      </c>
      <c r="AS263" s="6">
        <f t="shared" ref="AS263:AS316" si="414">1/AN263*1000</f>
        <v>2.8571428571428572</v>
      </c>
      <c r="AT263" s="6">
        <f t="shared" si="409"/>
        <v>1.2233191902646838</v>
      </c>
      <c r="AU263" s="6">
        <f t="shared" si="380"/>
        <v>1.6338236668781734</v>
      </c>
      <c r="AV263" s="6"/>
      <c r="AW263" s="179">
        <f t="shared" si="381"/>
        <v>0.42816171659263935</v>
      </c>
      <c r="AX263" s="179"/>
      <c r="CD263" s="581">
        <f t="shared" si="410"/>
        <v>-50</v>
      </c>
      <c r="CE263">
        <f t="shared" si="411"/>
        <v>-50</v>
      </c>
    </row>
    <row r="264" spans="5:83" x14ac:dyDescent="0.2">
      <c r="E264" s="176">
        <v>48</v>
      </c>
      <c r="F264" s="223">
        <f t="shared" si="412"/>
        <v>5.28E-2</v>
      </c>
      <c r="G264" s="223"/>
      <c r="H264" s="223">
        <f t="shared" si="382"/>
        <v>1.2671999999999999</v>
      </c>
      <c r="I264" s="559">
        <f t="shared" si="383"/>
        <v>15</v>
      </c>
      <c r="J264" s="454">
        <f t="shared" si="384"/>
        <v>24.25</v>
      </c>
      <c r="K264" s="454">
        <f t="shared" si="385"/>
        <v>39.25</v>
      </c>
      <c r="L264" s="454"/>
      <c r="M264" s="223">
        <f t="shared" si="386"/>
        <v>0.61783439490445857</v>
      </c>
      <c r="N264" s="178">
        <f t="shared" si="387"/>
        <v>6.3830015923566883</v>
      </c>
      <c r="O264" s="178">
        <f t="shared" si="413"/>
        <v>1.2671999999999999</v>
      </c>
      <c r="P264" s="223">
        <f t="shared" si="388"/>
        <v>0.26595839968152868</v>
      </c>
      <c r="Q264" s="223">
        <f t="shared" si="389"/>
        <v>24</v>
      </c>
      <c r="R264" s="223"/>
      <c r="S264" s="178">
        <f t="shared" si="390"/>
        <v>180.68833892887042</v>
      </c>
      <c r="T264" s="178">
        <f t="shared" si="391"/>
        <v>24</v>
      </c>
      <c r="U264" s="223">
        <f t="shared" si="392"/>
        <v>0.28786456863809007</v>
      </c>
      <c r="V264" s="223">
        <f t="shared" si="393"/>
        <v>0.90197564839934885</v>
      </c>
      <c r="W264" s="223">
        <f t="shared" si="394"/>
        <v>0.55792308148413328</v>
      </c>
      <c r="X264" s="203">
        <f t="shared" si="395"/>
        <v>350</v>
      </c>
      <c r="Y264" s="454">
        <f t="shared" si="362"/>
        <v>350</v>
      </c>
      <c r="AA264" s="223">
        <f t="shared" si="396"/>
        <v>0.56337482818035733</v>
      </c>
      <c r="AB264" s="179">
        <f t="shared" si="397"/>
        <v>1.0919017288444037</v>
      </c>
      <c r="AC264" s="179">
        <f t="shared" si="398"/>
        <v>0.10765124105357142</v>
      </c>
      <c r="AD264" s="179"/>
      <c r="AE264" s="179">
        <f t="shared" si="399"/>
        <v>0.56206185567010303</v>
      </c>
      <c r="AF264" s="563">
        <f t="shared" si="400"/>
        <v>647.86095580236315</v>
      </c>
      <c r="AG264" s="546">
        <f t="shared" si="401"/>
        <v>2.8524639175257726E-2</v>
      </c>
      <c r="AI264" s="179">
        <f t="shared" si="402"/>
        <v>0.39455257257150961</v>
      </c>
      <c r="AJ264" s="179">
        <f t="shared" si="403"/>
        <v>0.39455257257150961</v>
      </c>
      <c r="AK264" s="179">
        <f t="shared" si="404"/>
        <v>1.27744635005297</v>
      </c>
      <c r="AM264" s="563">
        <f t="shared" si="405"/>
        <v>52.8</v>
      </c>
      <c r="AN264" s="472">
        <f t="shared" si="406"/>
        <v>350</v>
      </c>
      <c r="AP264">
        <f t="shared" si="407"/>
        <v>52.8</v>
      </c>
      <c r="AQ264">
        <f t="shared" si="408"/>
        <v>350</v>
      </c>
      <c r="AS264" s="6">
        <f t="shared" si="414"/>
        <v>2.8571428571428572</v>
      </c>
      <c r="AT264" s="6">
        <f t="shared" si="409"/>
        <v>1.2362647273907301</v>
      </c>
      <c r="AU264" s="6">
        <f t="shared" si="380"/>
        <v>1.6208781297521271</v>
      </c>
      <c r="AV264" s="6"/>
      <c r="AW264" s="179">
        <f t="shared" si="381"/>
        <v>0.43269265458675554</v>
      </c>
      <c r="AX264" s="179"/>
      <c r="CD264" s="581">
        <f t="shared" si="410"/>
        <v>-50</v>
      </c>
      <c r="CE264">
        <f t="shared" si="411"/>
        <v>-50</v>
      </c>
    </row>
    <row r="265" spans="5:83" x14ac:dyDescent="0.2">
      <c r="E265" s="176">
        <v>49</v>
      </c>
      <c r="F265" s="223">
        <f t="shared" si="412"/>
        <v>5.3899999999999997E-2</v>
      </c>
      <c r="G265" s="223"/>
      <c r="H265" s="223">
        <f t="shared" si="382"/>
        <v>1.2935999999999999</v>
      </c>
      <c r="I265" s="559">
        <f t="shared" si="383"/>
        <v>15</v>
      </c>
      <c r="J265" s="454">
        <f t="shared" si="384"/>
        <v>24.25</v>
      </c>
      <c r="K265" s="454">
        <f t="shared" si="385"/>
        <v>39.25</v>
      </c>
      <c r="L265" s="454"/>
      <c r="M265" s="223">
        <f t="shared" si="386"/>
        <v>0.61783439490445857</v>
      </c>
      <c r="N265" s="178">
        <f t="shared" si="387"/>
        <v>6.3830015923566883</v>
      </c>
      <c r="O265" s="178">
        <f t="shared" si="413"/>
        <v>1.2935999999999999</v>
      </c>
      <c r="P265" s="223">
        <f t="shared" si="388"/>
        <v>0.26595839968152868</v>
      </c>
      <c r="Q265" s="223">
        <f t="shared" si="389"/>
        <v>24</v>
      </c>
      <c r="R265" s="223"/>
      <c r="S265" s="178">
        <f t="shared" si="390"/>
        <v>176.69558998695788</v>
      </c>
      <c r="T265" s="178">
        <f t="shared" si="391"/>
        <v>24</v>
      </c>
      <c r="U265" s="223">
        <f t="shared" si="392"/>
        <v>0.29386174715138363</v>
      </c>
      <c r="V265" s="223">
        <f t="shared" si="393"/>
        <v>0.92076680774100206</v>
      </c>
      <c r="W265" s="223">
        <f t="shared" si="394"/>
        <v>0.56954647901505273</v>
      </c>
      <c r="X265" s="203">
        <f t="shared" si="395"/>
        <v>350</v>
      </c>
      <c r="Y265" s="454">
        <f t="shared" si="362"/>
        <v>350</v>
      </c>
      <c r="AA265" s="223">
        <f t="shared" si="396"/>
        <v>0.56337482818035733</v>
      </c>
      <c r="AB265" s="179">
        <f t="shared" si="397"/>
        <v>1.0919017288444037</v>
      </c>
      <c r="AC265" s="179">
        <f t="shared" si="398"/>
        <v>0.10765124105357142</v>
      </c>
      <c r="AD265" s="179"/>
      <c r="AE265" s="179">
        <f t="shared" si="399"/>
        <v>0.56206185567010303</v>
      </c>
      <c r="AF265" s="563">
        <f t="shared" si="400"/>
        <v>661.35805904824554</v>
      </c>
      <c r="AG265" s="546">
        <f t="shared" si="401"/>
        <v>2.8524639175257726E-2</v>
      </c>
      <c r="AI265" s="179">
        <f t="shared" si="402"/>
        <v>0.39864130947133575</v>
      </c>
      <c r="AJ265" s="179">
        <f t="shared" si="403"/>
        <v>0.39864130947133575</v>
      </c>
      <c r="AK265" s="179">
        <f t="shared" si="404"/>
        <v>1.2804750440528412</v>
      </c>
      <c r="AM265" s="563">
        <f t="shared" si="405"/>
        <v>53.9</v>
      </c>
      <c r="AN265" s="472">
        <f t="shared" si="406"/>
        <v>350</v>
      </c>
      <c r="AP265">
        <f t="shared" si="407"/>
        <v>53.9</v>
      </c>
      <c r="AQ265">
        <f t="shared" si="408"/>
        <v>350</v>
      </c>
      <c r="AS265" s="6">
        <f t="shared" si="414"/>
        <v>2.8571428571428572</v>
      </c>
      <c r="AT265" s="6">
        <f t="shared" si="409"/>
        <v>1.2490761030101853</v>
      </c>
      <c r="AU265" s="6">
        <f t="shared" si="380"/>
        <v>1.6080667541326719</v>
      </c>
      <c r="AV265" s="6"/>
      <c r="AW265" s="179">
        <f t="shared" si="381"/>
        <v>0.43717663605356488</v>
      </c>
      <c r="AX265" s="179"/>
      <c r="CD265" s="581">
        <f t="shared" si="410"/>
        <v>-50</v>
      </c>
      <c r="CE265">
        <f t="shared" si="411"/>
        <v>-50</v>
      </c>
    </row>
    <row r="266" spans="5:83" x14ac:dyDescent="0.2">
      <c r="E266" s="176">
        <v>50</v>
      </c>
      <c r="F266" s="223">
        <f t="shared" si="412"/>
        <v>5.5E-2</v>
      </c>
      <c r="G266" s="223"/>
      <c r="H266" s="223">
        <f t="shared" si="382"/>
        <v>1.32</v>
      </c>
      <c r="I266" s="559">
        <f t="shared" si="383"/>
        <v>15</v>
      </c>
      <c r="J266" s="454">
        <f t="shared" si="384"/>
        <v>24.25</v>
      </c>
      <c r="K266" s="454">
        <f t="shared" si="385"/>
        <v>39.25</v>
      </c>
      <c r="L266" s="454"/>
      <c r="M266" s="223">
        <f t="shared" si="386"/>
        <v>0.61783439490445857</v>
      </c>
      <c r="N266" s="178">
        <f t="shared" si="387"/>
        <v>6.3830015923566883</v>
      </c>
      <c r="O266" s="178">
        <f t="shared" si="413"/>
        <v>1.32</v>
      </c>
      <c r="P266" s="223">
        <f t="shared" si="388"/>
        <v>0.26595839968152868</v>
      </c>
      <c r="Q266" s="223">
        <f t="shared" si="389"/>
        <v>24</v>
      </c>
      <c r="R266" s="223"/>
      <c r="S266" s="178">
        <f t="shared" si="390"/>
        <v>172.86257129586582</v>
      </c>
      <c r="T266" s="178">
        <f t="shared" si="391"/>
        <v>24</v>
      </c>
      <c r="U266" s="223">
        <f t="shared" si="392"/>
        <v>0.2998589256646772</v>
      </c>
      <c r="V266" s="223">
        <f t="shared" si="393"/>
        <v>0.93955796708265515</v>
      </c>
      <c r="W266" s="223">
        <f t="shared" si="394"/>
        <v>0.5811698765459723</v>
      </c>
      <c r="X266" s="203">
        <f t="shared" si="395"/>
        <v>350</v>
      </c>
      <c r="Y266" s="454">
        <f t="shared" si="362"/>
        <v>350</v>
      </c>
      <c r="AA266" s="223">
        <f t="shared" si="396"/>
        <v>0.56337482818035733</v>
      </c>
      <c r="AB266" s="179">
        <f t="shared" si="397"/>
        <v>1.0919017288444037</v>
      </c>
      <c r="AC266" s="179">
        <f t="shared" si="398"/>
        <v>0.10765124105357142</v>
      </c>
      <c r="AD266" s="179"/>
      <c r="AE266" s="179">
        <f t="shared" si="399"/>
        <v>0.56206185567010303</v>
      </c>
      <c r="AF266" s="563">
        <f t="shared" si="400"/>
        <v>674.85516229412826</v>
      </c>
      <c r="AG266" s="546">
        <f t="shared" si="401"/>
        <v>2.8524639175257726E-2</v>
      </c>
      <c r="AI266" s="179">
        <f t="shared" si="402"/>
        <v>0.40268853312609515</v>
      </c>
      <c r="AJ266" s="179">
        <f t="shared" si="403"/>
        <v>0.40268853312609515</v>
      </c>
      <c r="AK266" s="179">
        <f t="shared" si="404"/>
        <v>1.2834729875008113</v>
      </c>
      <c r="AM266" s="563">
        <f t="shared" si="405"/>
        <v>55</v>
      </c>
      <c r="AN266" s="472">
        <f t="shared" si="406"/>
        <v>350</v>
      </c>
      <c r="AP266">
        <f t="shared" si="407"/>
        <v>55</v>
      </c>
      <c r="AQ266">
        <f t="shared" si="408"/>
        <v>350</v>
      </c>
      <c r="AS266" s="6">
        <f t="shared" si="414"/>
        <v>2.8571428571428572</v>
      </c>
      <c r="AT266" s="6">
        <f t="shared" si="409"/>
        <v>1.261757403795098</v>
      </c>
      <c r="AU266" s="6">
        <f t="shared" si="380"/>
        <v>1.5953854533477592</v>
      </c>
      <c r="AV266" s="6"/>
      <c r="AW266" s="179">
        <f t="shared" si="381"/>
        <v>0.4416150913282843</v>
      </c>
      <c r="AX266" s="179"/>
      <c r="CD266" s="581">
        <f t="shared" si="410"/>
        <v>-50</v>
      </c>
      <c r="CE266">
        <f t="shared" si="411"/>
        <v>-50</v>
      </c>
    </row>
    <row r="267" spans="5:83" x14ac:dyDescent="0.2">
      <c r="E267" s="176">
        <v>51</v>
      </c>
      <c r="F267" s="223">
        <f t="shared" si="412"/>
        <v>5.6100000000000004E-2</v>
      </c>
      <c r="G267" s="223"/>
      <c r="H267" s="223">
        <f t="shared" si="382"/>
        <v>1.3464</v>
      </c>
      <c r="I267" s="559">
        <f t="shared" si="383"/>
        <v>15</v>
      </c>
      <c r="J267" s="454">
        <f t="shared" si="384"/>
        <v>24.25</v>
      </c>
      <c r="K267" s="454">
        <f t="shared" si="385"/>
        <v>39.25</v>
      </c>
      <c r="L267" s="454"/>
      <c r="M267" s="223">
        <f t="shared" si="386"/>
        <v>0.61783439490445857</v>
      </c>
      <c r="N267" s="178">
        <f t="shared" si="387"/>
        <v>6.3830015923566883</v>
      </c>
      <c r="O267" s="178">
        <f t="shared" si="413"/>
        <v>1.3464</v>
      </c>
      <c r="P267" s="223">
        <f t="shared" si="388"/>
        <v>0.26595839968152868</v>
      </c>
      <c r="Q267" s="223">
        <f t="shared" si="389"/>
        <v>24</v>
      </c>
      <c r="R267" s="223"/>
      <c r="S267" s="178">
        <f t="shared" si="390"/>
        <v>169.17988705974025</v>
      </c>
      <c r="T267" s="178">
        <f t="shared" si="391"/>
        <v>24</v>
      </c>
      <c r="U267" s="223">
        <f t="shared" si="392"/>
        <v>0.30585610417797077</v>
      </c>
      <c r="V267" s="223">
        <f t="shared" si="393"/>
        <v>0.95834912642430836</v>
      </c>
      <c r="W267" s="223">
        <f t="shared" si="394"/>
        <v>0.59279327407689175</v>
      </c>
      <c r="X267" s="203">
        <f t="shared" si="395"/>
        <v>350</v>
      </c>
      <c r="Y267" s="454">
        <f t="shared" si="362"/>
        <v>350</v>
      </c>
      <c r="AA267" s="223">
        <f t="shared" si="396"/>
        <v>0.56337482818035733</v>
      </c>
      <c r="AB267" s="179">
        <f t="shared" si="397"/>
        <v>1.0919017288444037</v>
      </c>
      <c r="AC267" s="179">
        <f t="shared" si="398"/>
        <v>0.10765124105357142</v>
      </c>
      <c r="AD267" s="179"/>
      <c r="AE267" s="179">
        <f t="shared" si="399"/>
        <v>0.56206185567010303</v>
      </c>
      <c r="AF267" s="563">
        <f t="shared" si="400"/>
        <v>688.35226554001076</v>
      </c>
      <c r="AG267" s="546">
        <f t="shared" si="401"/>
        <v>2.8524639175257726E-2</v>
      </c>
      <c r="AI267" s="179">
        <f t="shared" si="402"/>
        <v>0.40669548289287794</v>
      </c>
      <c r="AJ267" s="179">
        <f t="shared" si="403"/>
        <v>0.40669548289287794</v>
      </c>
      <c r="AK267" s="179">
        <f t="shared" si="404"/>
        <v>1.2864410984391688</v>
      </c>
      <c r="AM267" s="563">
        <f t="shared" si="405"/>
        <v>56.1</v>
      </c>
      <c r="AN267" s="472">
        <f t="shared" si="406"/>
        <v>350</v>
      </c>
      <c r="AP267">
        <f t="shared" si="407"/>
        <v>56.1</v>
      </c>
      <c r="AQ267">
        <f t="shared" si="408"/>
        <v>350</v>
      </c>
      <c r="AS267" s="6">
        <f t="shared" si="414"/>
        <v>2.8571428571428572</v>
      </c>
      <c r="AT267" s="6">
        <f t="shared" si="409"/>
        <v>1.2743125130643507</v>
      </c>
      <c r="AU267" s="6">
        <f t="shared" si="380"/>
        <v>1.5828303440785065</v>
      </c>
      <c r="AV267" s="6"/>
      <c r="AW267" s="179">
        <f t="shared" si="381"/>
        <v>0.44600937957252274</v>
      </c>
      <c r="AX267" s="179"/>
      <c r="CD267" s="581">
        <f t="shared" si="410"/>
        <v>-50</v>
      </c>
      <c r="CE267">
        <f t="shared" si="411"/>
        <v>-50</v>
      </c>
    </row>
    <row r="268" spans="5:83" x14ac:dyDescent="0.2">
      <c r="E268" s="176">
        <v>52</v>
      </c>
      <c r="F268" s="223">
        <f t="shared" si="412"/>
        <v>5.7200000000000001E-2</v>
      </c>
      <c r="G268" s="223"/>
      <c r="H268" s="223">
        <f t="shared" si="382"/>
        <v>1.3728</v>
      </c>
      <c r="I268" s="559">
        <f t="shared" si="383"/>
        <v>15</v>
      </c>
      <c r="J268" s="454">
        <f t="shared" si="384"/>
        <v>24.25</v>
      </c>
      <c r="K268" s="454">
        <f t="shared" si="385"/>
        <v>39.25</v>
      </c>
      <c r="L268" s="454"/>
      <c r="M268" s="223">
        <f t="shared" si="386"/>
        <v>0.61783439490445857</v>
      </c>
      <c r="N268" s="178">
        <f t="shared" si="387"/>
        <v>6.3830015923566883</v>
      </c>
      <c r="O268" s="178">
        <f t="shared" si="413"/>
        <v>1.3728</v>
      </c>
      <c r="P268" s="223">
        <f t="shared" si="388"/>
        <v>0.26595839968152868</v>
      </c>
      <c r="Q268" s="223">
        <f t="shared" si="389"/>
        <v>24</v>
      </c>
      <c r="R268" s="223"/>
      <c r="S268" s="178">
        <f t="shared" si="390"/>
        <v>165.6388642369154</v>
      </c>
      <c r="T268" s="178">
        <f t="shared" si="391"/>
        <v>24</v>
      </c>
      <c r="U268" s="223">
        <f t="shared" si="392"/>
        <v>0.31185328269126428</v>
      </c>
      <c r="V268" s="223">
        <f t="shared" si="393"/>
        <v>0.97714028576596135</v>
      </c>
      <c r="W268" s="223">
        <f t="shared" si="394"/>
        <v>0.60441667160781121</v>
      </c>
      <c r="X268" s="203">
        <f t="shared" si="395"/>
        <v>350</v>
      </c>
      <c r="Y268" s="454">
        <f t="shared" si="362"/>
        <v>350</v>
      </c>
      <c r="AA268" s="223">
        <f t="shared" si="396"/>
        <v>0.56337482818035733</v>
      </c>
      <c r="AB268" s="179">
        <f t="shared" si="397"/>
        <v>1.0919017288444037</v>
      </c>
      <c r="AC268" s="179">
        <f t="shared" si="398"/>
        <v>0.10765124105357142</v>
      </c>
      <c r="AD268" s="179"/>
      <c r="AE268" s="179">
        <f t="shared" si="399"/>
        <v>0.56206185567010303</v>
      </c>
      <c r="AF268" s="563">
        <f t="shared" si="400"/>
        <v>701.84936878589326</v>
      </c>
      <c r="AG268" s="546">
        <f t="shared" si="401"/>
        <v>2.8524639175257726E-2</v>
      </c>
      <c r="AI268" s="179">
        <f t="shared" si="402"/>
        <v>0.41066333766200275</v>
      </c>
      <c r="AJ268" s="179">
        <f t="shared" si="403"/>
        <v>0.41066333766200275</v>
      </c>
      <c r="AK268" s="179">
        <f t="shared" si="404"/>
        <v>1.289380250120002</v>
      </c>
      <c r="AM268" s="563">
        <f t="shared" si="405"/>
        <v>57.2</v>
      </c>
      <c r="AN268" s="472">
        <f t="shared" si="406"/>
        <v>350</v>
      </c>
      <c r="AP268">
        <f t="shared" si="407"/>
        <v>57.2</v>
      </c>
      <c r="AQ268">
        <f t="shared" si="408"/>
        <v>350</v>
      </c>
      <c r="AS268" s="6">
        <f t="shared" si="414"/>
        <v>2.8571428571428572</v>
      </c>
      <c r="AT268" s="6">
        <f t="shared" si="409"/>
        <v>1.2867451246742754</v>
      </c>
      <c r="AU268" s="6">
        <f t="shared" si="380"/>
        <v>1.5703977324685818</v>
      </c>
      <c r="AV268" s="6"/>
      <c r="AW268" s="179">
        <f t="shared" si="381"/>
        <v>0.45036079363599635</v>
      </c>
      <c r="AX268" s="179"/>
      <c r="CD268" s="581">
        <f t="shared" si="410"/>
        <v>-50</v>
      </c>
      <c r="CE268">
        <f t="shared" si="411"/>
        <v>-50</v>
      </c>
    </row>
    <row r="269" spans="5:83" x14ac:dyDescent="0.2">
      <c r="E269" s="176">
        <v>53</v>
      </c>
      <c r="F269" s="223">
        <f t="shared" si="412"/>
        <v>5.8300000000000005E-2</v>
      </c>
      <c r="G269" s="223"/>
      <c r="H269" s="223">
        <f t="shared" si="382"/>
        <v>1.3992</v>
      </c>
      <c r="I269" s="559">
        <f t="shared" si="383"/>
        <v>15</v>
      </c>
      <c r="J269" s="454">
        <f t="shared" si="384"/>
        <v>24.25</v>
      </c>
      <c r="K269" s="454">
        <f t="shared" si="385"/>
        <v>39.25</v>
      </c>
      <c r="L269" s="454"/>
      <c r="M269" s="223">
        <f t="shared" si="386"/>
        <v>0.61783439490445857</v>
      </c>
      <c r="N269" s="178">
        <f t="shared" si="387"/>
        <v>6.3830015923566883</v>
      </c>
      <c r="O269" s="178">
        <f t="shared" si="413"/>
        <v>1.3992</v>
      </c>
      <c r="P269" s="223">
        <f t="shared" si="388"/>
        <v>0.26595839968152868</v>
      </c>
      <c r="Q269" s="223">
        <f t="shared" si="389"/>
        <v>24</v>
      </c>
      <c r="R269" s="223"/>
      <c r="S269" s="178">
        <f t="shared" si="390"/>
        <v>162.23148435556158</v>
      </c>
      <c r="T269" s="178">
        <f t="shared" si="391"/>
        <v>24</v>
      </c>
      <c r="U269" s="223">
        <f t="shared" si="392"/>
        <v>0.31785046120455784</v>
      </c>
      <c r="V269" s="223">
        <f t="shared" si="393"/>
        <v>0.99593144510761455</v>
      </c>
      <c r="W269" s="223">
        <f t="shared" si="394"/>
        <v>0.61604006913873066</v>
      </c>
      <c r="X269" s="203">
        <f t="shared" si="395"/>
        <v>350</v>
      </c>
      <c r="Y269" s="454">
        <f t="shared" si="362"/>
        <v>350</v>
      </c>
      <c r="AA269" s="223">
        <f t="shared" si="396"/>
        <v>0.56337482818035733</v>
      </c>
      <c r="AB269" s="179">
        <f t="shared" si="397"/>
        <v>1.0919017288444037</v>
      </c>
      <c r="AC269" s="179">
        <f t="shared" si="398"/>
        <v>0.10765124105357142</v>
      </c>
      <c r="AD269" s="179"/>
      <c r="AE269" s="179">
        <f t="shared" si="399"/>
        <v>0.56206185567010303</v>
      </c>
      <c r="AF269" s="563">
        <f t="shared" si="400"/>
        <v>715.34647203177599</v>
      </c>
      <c r="AG269" s="546">
        <f t="shared" si="401"/>
        <v>2.8524639175257726E-2</v>
      </c>
      <c r="AI269" s="179">
        <f t="shared" si="402"/>
        <v>0.41459321990828674</v>
      </c>
      <c r="AJ269" s="179">
        <f t="shared" si="403"/>
        <v>0.41459321990828674</v>
      </c>
      <c r="AK269" s="179">
        <f t="shared" si="404"/>
        <v>1.2922912740061383</v>
      </c>
      <c r="AM269" s="563">
        <f t="shared" si="405"/>
        <v>58.300000000000004</v>
      </c>
      <c r="AN269" s="472">
        <f t="shared" si="406"/>
        <v>350</v>
      </c>
      <c r="AP269">
        <f t="shared" si="407"/>
        <v>58.300000000000004</v>
      </c>
      <c r="AQ269">
        <f t="shared" si="408"/>
        <v>350</v>
      </c>
      <c r="AS269" s="6">
        <f t="shared" si="414"/>
        <v>2.8571428571428572</v>
      </c>
      <c r="AT269" s="6">
        <f t="shared" si="409"/>
        <v>1.2990587557126316</v>
      </c>
      <c r="AU269" s="6">
        <f t="shared" si="380"/>
        <v>1.5580841014302256</v>
      </c>
      <c r="AV269" s="6"/>
      <c r="AW269" s="179">
        <f t="shared" si="381"/>
        <v>0.45467056449942106</v>
      </c>
      <c r="AX269" s="179"/>
      <c r="CD269" s="581">
        <f t="shared" si="410"/>
        <v>-50</v>
      </c>
      <c r="CE269">
        <f t="shared" si="411"/>
        <v>-50</v>
      </c>
    </row>
    <row r="270" spans="5:83" x14ac:dyDescent="0.2">
      <c r="E270" s="176">
        <v>54</v>
      </c>
      <c r="F270" s="223">
        <f t="shared" si="412"/>
        <v>5.9400000000000001E-2</v>
      </c>
      <c r="G270" s="223"/>
      <c r="H270" s="223">
        <f t="shared" si="382"/>
        <v>1.4256</v>
      </c>
      <c r="I270" s="559">
        <f t="shared" si="383"/>
        <v>15</v>
      </c>
      <c r="J270" s="454">
        <f t="shared" si="384"/>
        <v>24.25</v>
      </c>
      <c r="K270" s="454">
        <f t="shared" si="385"/>
        <v>39.25</v>
      </c>
      <c r="L270" s="454"/>
      <c r="M270" s="223">
        <f t="shared" si="386"/>
        <v>0.61783439490445857</v>
      </c>
      <c r="N270" s="178">
        <f t="shared" si="387"/>
        <v>6.3830015923566883</v>
      </c>
      <c r="O270" s="178">
        <f t="shared" si="413"/>
        <v>1.4256</v>
      </c>
      <c r="P270" s="223">
        <f t="shared" si="388"/>
        <v>0.26595839968152868</v>
      </c>
      <c r="Q270" s="223">
        <f t="shared" si="389"/>
        <v>24</v>
      </c>
      <c r="R270" s="223"/>
      <c r="S270" s="178">
        <f t="shared" si="390"/>
        <v>158.95032290537247</v>
      </c>
      <c r="T270" s="178">
        <f t="shared" si="391"/>
        <v>24</v>
      </c>
      <c r="U270" s="223">
        <f t="shared" si="392"/>
        <v>0.32384763971785135</v>
      </c>
      <c r="V270" s="223">
        <f t="shared" si="393"/>
        <v>1.0147226044492677</v>
      </c>
      <c r="W270" s="223">
        <f t="shared" si="394"/>
        <v>0.62766346666965001</v>
      </c>
      <c r="X270" s="203">
        <f t="shared" si="395"/>
        <v>350</v>
      </c>
      <c r="Y270" s="454">
        <f t="shared" si="362"/>
        <v>350</v>
      </c>
      <c r="AA270" s="223">
        <f t="shared" si="396"/>
        <v>0.56337482818035733</v>
      </c>
      <c r="AB270" s="179">
        <f t="shared" si="397"/>
        <v>1.0919017288444037</v>
      </c>
      <c r="AC270" s="179">
        <f t="shared" si="398"/>
        <v>0.10765124105357142</v>
      </c>
      <c r="AD270" s="179"/>
      <c r="AE270" s="179">
        <f t="shared" si="399"/>
        <v>0.56206185567010303</v>
      </c>
      <c r="AF270" s="563">
        <f t="shared" si="400"/>
        <v>728.84357527765849</v>
      </c>
      <c r="AG270" s="546">
        <f t="shared" si="401"/>
        <v>2.8524639175257726E-2</v>
      </c>
      <c r="AI270" s="179">
        <f t="shared" si="402"/>
        <v>0.41848619939986781</v>
      </c>
      <c r="AJ270" s="179">
        <f t="shared" si="403"/>
        <v>0.41848619939986781</v>
      </c>
      <c r="AK270" s="179">
        <f t="shared" si="404"/>
        <v>1.2951749625184206</v>
      </c>
      <c r="AM270" s="563">
        <f t="shared" si="405"/>
        <v>59.4</v>
      </c>
      <c r="AN270" s="472">
        <f t="shared" si="406"/>
        <v>350</v>
      </c>
      <c r="AP270">
        <f t="shared" si="407"/>
        <v>59.4</v>
      </c>
      <c r="AQ270">
        <f t="shared" si="408"/>
        <v>350</v>
      </c>
      <c r="AS270" s="6">
        <f t="shared" si="414"/>
        <v>2.8571428571428572</v>
      </c>
      <c r="AT270" s="6">
        <f t="shared" si="409"/>
        <v>1.3112567581195858</v>
      </c>
      <c r="AU270" s="6">
        <f t="shared" si="380"/>
        <v>1.5458860990232715</v>
      </c>
      <c r="AV270" s="6"/>
      <c r="AW270" s="179">
        <f t="shared" si="381"/>
        <v>0.45893986534185499</v>
      </c>
      <c r="AX270" s="179"/>
      <c r="CD270" s="581">
        <f t="shared" si="410"/>
        <v>-50</v>
      </c>
      <c r="CE270">
        <f t="shared" si="411"/>
        <v>-50</v>
      </c>
    </row>
    <row r="271" spans="5:83" x14ac:dyDescent="0.2">
      <c r="E271" s="176">
        <v>55</v>
      </c>
      <c r="F271" s="223">
        <f t="shared" si="412"/>
        <v>6.0500000000000005E-2</v>
      </c>
      <c r="G271" s="223"/>
      <c r="H271" s="223">
        <f t="shared" si="382"/>
        <v>1.4520000000000002</v>
      </c>
      <c r="I271" s="559">
        <f t="shared" si="383"/>
        <v>15</v>
      </c>
      <c r="J271" s="454">
        <f t="shared" si="384"/>
        <v>24.25</v>
      </c>
      <c r="K271" s="454">
        <f t="shared" si="385"/>
        <v>39.25</v>
      </c>
      <c r="L271" s="454"/>
      <c r="M271" s="223">
        <f t="shared" si="386"/>
        <v>0.61783439490445857</v>
      </c>
      <c r="N271" s="178">
        <f t="shared" si="387"/>
        <v>6.3830015923566883</v>
      </c>
      <c r="O271" s="178">
        <f t="shared" si="413"/>
        <v>1.4520000000000002</v>
      </c>
      <c r="P271" s="223">
        <f t="shared" si="388"/>
        <v>0.26595839968152868</v>
      </c>
      <c r="Q271" s="223">
        <f t="shared" si="389"/>
        <v>24</v>
      </c>
      <c r="R271" s="223"/>
      <c r="S271" s="178">
        <f t="shared" si="390"/>
        <v>155.78849534106806</v>
      </c>
      <c r="T271" s="178">
        <f t="shared" si="391"/>
        <v>24</v>
      </c>
      <c r="U271" s="223">
        <f t="shared" si="392"/>
        <v>0.32984481823114498</v>
      </c>
      <c r="V271" s="223">
        <f t="shared" si="393"/>
        <v>1.0335137637909209</v>
      </c>
      <c r="W271" s="223">
        <f t="shared" si="394"/>
        <v>0.63928686420056957</v>
      </c>
      <c r="X271" s="203">
        <f t="shared" si="395"/>
        <v>350</v>
      </c>
      <c r="Y271" s="454">
        <f t="shared" si="362"/>
        <v>350</v>
      </c>
      <c r="AA271" s="223">
        <f t="shared" si="396"/>
        <v>0.56337482818035733</v>
      </c>
      <c r="AB271" s="179">
        <f t="shared" si="397"/>
        <v>1.0919017288444037</v>
      </c>
      <c r="AC271" s="179">
        <f t="shared" si="398"/>
        <v>0.10765124105357142</v>
      </c>
      <c r="AD271" s="179"/>
      <c r="AE271" s="179">
        <f t="shared" si="399"/>
        <v>0.56206185567010303</v>
      </c>
      <c r="AF271" s="563">
        <f t="shared" si="400"/>
        <v>742.3406785235411</v>
      </c>
      <c r="AG271" s="546">
        <f t="shared" si="401"/>
        <v>2.8524639175257726E-2</v>
      </c>
      <c r="AI271" s="179">
        <f t="shared" si="402"/>
        <v>0.4223432965993078</v>
      </c>
      <c r="AJ271" s="179">
        <f t="shared" si="403"/>
        <v>0.4223432965993078</v>
      </c>
      <c r="AK271" s="179">
        <f t="shared" si="404"/>
        <v>1.2980320715550429</v>
      </c>
      <c r="AM271" s="563">
        <f t="shared" si="405"/>
        <v>60.500000000000007</v>
      </c>
      <c r="AN271" s="472">
        <f t="shared" si="406"/>
        <v>350</v>
      </c>
      <c r="AP271">
        <f t="shared" si="407"/>
        <v>60.500000000000007</v>
      </c>
      <c r="AQ271">
        <f t="shared" si="408"/>
        <v>350</v>
      </c>
      <c r="AS271" s="6">
        <f t="shared" si="414"/>
        <v>2.8571428571428572</v>
      </c>
      <c r="AT271" s="6">
        <f t="shared" si="409"/>
        <v>1.3233423293444979</v>
      </c>
      <c r="AU271" s="6">
        <f t="shared" si="380"/>
        <v>1.5338005277983593</v>
      </c>
      <c r="AV271" s="6"/>
      <c r="AW271" s="179">
        <f t="shared" si="381"/>
        <v>0.46316981527057427</v>
      </c>
      <c r="AX271" s="179"/>
      <c r="CD271" s="581">
        <f t="shared" si="410"/>
        <v>-50</v>
      </c>
      <c r="CE271">
        <f t="shared" si="411"/>
        <v>-50</v>
      </c>
    </row>
    <row r="272" spans="5:83" x14ac:dyDescent="0.2">
      <c r="E272" s="176">
        <v>56</v>
      </c>
      <c r="F272" s="223">
        <f t="shared" si="412"/>
        <v>6.1600000000000009E-2</v>
      </c>
      <c r="G272" s="223"/>
      <c r="H272" s="223">
        <f t="shared" si="382"/>
        <v>1.4784000000000002</v>
      </c>
      <c r="I272" s="559">
        <f t="shared" si="383"/>
        <v>15</v>
      </c>
      <c r="J272" s="454">
        <f t="shared" si="384"/>
        <v>24.25</v>
      </c>
      <c r="K272" s="454">
        <f t="shared" si="385"/>
        <v>39.25</v>
      </c>
      <c r="L272" s="454"/>
      <c r="M272" s="223">
        <f t="shared" si="386"/>
        <v>0.61783439490445857</v>
      </c>
      <c r="N272" s="178">
        <f t="shared" si="387"/>
        <v>6.3830015923566883</v>
      </c>
      <c r="O272" s="178">
        <f t="shared" si="413"/>
        <v>1.4784000000000002</v>
      </c>
      <c r="P272" s="223">
        <f t="shared" si="388"/>
        <v>0.26595839968152868</v>
      </c>
      <c r="Q272" s="223">
        <f t="shared" si="389"/>
        <v>24</v>
      </c>
      <c r="R272" s="223"/>
      <c r="S272" s="178">
        <f t="shared" si="390"/>
        <v>152.73960887123678</v>
      </c>
      <c r="T272" s="178">
        <f t="shared" si="391"/>
        <v>24</v>
      </c>
      <c r="U272" s="223">
        <f t="shared" si="392"/>
        <v>0.33584199674443849</v>
      </c>
      <c r="V272" s="223">
        <f t="shared" si="393"/>
        <v>1.0523049231325738</v>
      </c>
      <c r="W272" s="223">
        <f t="shared" si="394"/>
        <v>0.65091026173148903</v>
      </c>
      <c r="X272" s="203">
        <f t="shared" si="395"/>
        <v>350</v>
      </c>
      <c r="Y272" s="454">
        <f t="shared" si="362"/>
        <v>350</v>
      </c>
      <c r="AA272" s="223">
        <f t="shared" si="396"/>
        <v>0.56337482818035733</v>
      </c>
      <c r="AB272" s="179">
        <f t="shared" si="397"/>
        <v>1.0919017288444037</v>
      </c>
      <c r="AC272" s="179">
        <f t="shared" si="398"/>
        <v>0.10765124105357142</v>
      </c>
      <c r="AD272" s="179"/>
      <c r="AE272" s="179">
        <f t="shared" si="399"/>
        <v>0.56206185567010303</v>
      </c>
      <c r="AF272" s="563">
        <f t="shared" si="400"/>
        <v>755.83778176942371</v>
      </c>
      <c r="AG272" s="546">
        <f t="shared" si="401"/>
        <v>2.8524639175257726E-2</v>
      </c>
      <c r="AI272" s="179">
        <f t="shared" si="402"/>
        <v>0.42616548578761726</v>
      </c>
      <c r="AJ272" s="179">
        <f t="shared" si="403"/>
        <v>0.42616548578761726</v>
      </c>
      <c r="AK272" s="179">
        <f t="shared" si="404"/>
        <v>1.3008633228056423</v>
      </c>
      <c r="AM272" s="563">
        <f t="shared" si="405"/>
        <v>61.600000000000009</v>
      </c>
      <c r="AN272" s="472">
        <f t="shared" si="406"/>
        <v>350</v>
      </c>
      <c r="AP272">
        <f t="shared" si="407"/>
        <v>61.600000000000009</v>
      </c>
      <c r="AQ272">
        <f t="shared" si="408"/>
        <v>350</v>
      </c>
      <c r="AS272" s="6">
        <f t="shared" si="414"/>
        <v>2.8571428571428572</v>
      </c>
      <c r="AT272" s="6">
        <f t="shared" si="409"/>
        <v>1.3353185221345341</v>
      </c>
      <c r="AU272" s="6">
        <f t="shared" si="380"/>
        <v>1.5218243350083231</v>
      </c>
      <c r="AV272" s="6"/>
      <c r="AW272" s="179">
        <f t="shared" si="381"/>
        <v>0.46736148274708689</v>
      </c>
      <c r="AX272" s="179"/>
      <c r="CD272" s="581">
        <f t="shared" si="410"/>
        <v>-50</v>
      </c>
      <c r="CE272">
        <f t="shared" si="411"/>
        <v>-50</v>
      </c>
    </row>
    <row r="273" spans="5:83" x14ac:dyDescent="0.2">
      <c r="E273" s="176">
        <v>57</v>
      </c>
      <c r="F273" s="223">
        <f t="shared" si="412"/>
        <v>6.2699999999999992E-2</v>
      </c>
      <c r="G273" s="223"/>
      <c r="H273" s="223">
        <f t="shared" si="382"/>
        <v>1.5047999999999999</v>
      </c>
      <c r="I273" s="559">
        <f t="shared" si="383"/>
        <v>15</v>
      </c>
      <c r="J273" s="454">
        <f t="shared" si="384"/>
        <v>24.25</v>
      </c>
      <c r="K273" s="454">
        <f t="shared" si="385"/>
        <v>39.25</v>
      </c>
      <c r="L273" s="454"/>
      <c r="M273" s="223">
        <f t="shared" si="386"/>
        <v>0.61783439490445857</v>
      </c>
      <c r="N273" s="178">
        <f t="shared" si="387"/>
        <v>6.3830015923566883</v>
      </c>
      <c r="O273" s="178">
        <f t="shared" si="413"/>
        <v>1.5047999999999999</v>
      </c>
      <c r="P273" s="223">
        <f t="shared" si="388"/>
        <v>0.26595839968152868</v>
      </c>
      <c r="Q273" s="223">
        <f t="shared" si="389"/>
        <v>24</v>
      </c>
      <c r="R273" s="223"/>
      <c r="S273" s="178">
        <f t="shared" si="390"/>
        <v>149.7977193220363</v>
      </c>
      <c r="T273" s="178">
        <f t="shared" si="391"/>
        <v>24</v>
      </c>
      <c r="U273" s="223">
        <f t="shared" si="392"/>
        <v>0.341839175257732</v>
      </c>
      <c r="V273" s="223">
        <f t="shared" si="393"/>
        <v>1.0710960824742268</v>
      </c>
      <c r="W273" s="223">
        <f t="shared" si="394"/>
        <v>0.66253365926240837</v>
      </c>
      <c r="X273" s="203">
        <f t="shared" si="395"/>
        <v>350</v>
      </c>
      <c r="Y273" s="454">
        <f t="shared" si="362"/>
        <v>350</v>
      </c>
      <c r="AA273" s="223">
        <f t="shared" si="396"/>
        <v>0.56337482818035733</v>
      </c>
      <c r="AB273" s="179">
        <f t="shared" si="397"/>
        <v>1.0919017288444037</v>
      </c>
      <c r="AC273" s="179">
        <f t="shared" si="398"/>
        <v>0.10765124105357142</v>
      </c>
      <c r="AD273" s="179"/>
      <c r="AE273" s="179">
        <f t="shared" si="399"/>
        <v>0.56206185567010303</v>
      </c>
      <c r="AF273" s="563">
        <f t="shared" si="400"/>
        <v>769.3348850153061</v>
      </c>
      <c r="AG273" s="546">
        <f t="shared" si="401"/>
        <v>2.8524639175257726E-2</v>
      </c>
      <c r="AI273" s="179">
        <f t="shared" si="402"/>
        <v>0.42995369793830202</v>
      </c>
      <c r="AJ273" s="179">
        <f t="shared" si="403"/>
        <v>0.42995369793830202</v>
      </c>
      <c r="AK273" s="179">
        <f t="shared" si="404"/>
        <v>1.3036694058802236</v>
      </c>
      <c r="AM273" s="563">
        <f t="shared" si="405"/>
        <v>62.699999999999989</v>
      </c>
      <c r="AN273" s="472">
        <f t="shared" si="406"/>
        <v>350</v>
      </c>
      <c r="AP273">
        <f t="shared" si="407"/>
        <v>62.699999999999989</v>
      </c>
      <c r="AQ273">
        <f t="shared" si="408"/>
        <v>350</v>
      </c>
      <c r="AS273" s="6">
        <f t="shared" si="414"/>
        <v>2.8571428571428572</v>
      </c>
      <c r="AT273" s="6">
        <f t="shared" si="409"/>
        <v>1.347188253540013</v>
      </c>
      <c r="AU273" s="6">
        <f t="shared" si="380"/>
        <v>1.5099546036028442</v>
      </c>
      <c r="AV273" s="6"/>
      <c r="AW273" s="179">
        <f t="shared" si="381"/>
        <v>0.47151588873900457</v>
      </c>
      <c r="AX273" s="179"/>
      <c r="CD273" s="581">
        <f t="shared" si="410"/>
        <v>-50</v>
      </c>
      <c r="CE273">
        <f t="shared" si="411"/>
        <v>-50</v>
      </c>
    </row>
    <row r="274" spans="5:83" x14ac:dyDescent="0.2">
      <c r="E274" s="176">
        <v>58</v>
      </c>
      <c r="F274" s="223">
        <f t="shared" si="412"/>
        <v>6.3799999999999996E-2</v>
      </c>
      <c r="G274" s="223"/>
      <c r="H274" s="223">
        <f t="shared" si="382"/>
        <v>1.5311999999999999</v>
      </c>
      <c r="I274" s="559">
        <f t="shared" si="383"/>
        <v>15</v>
      </c>
      <c r="J274" s="454">
        <f t="shared" si="384"/>
        <v>24.25</v>
      </c>
      <c r="K274" s="454">
        <f t="shared" si="385"/>
        <v>39.25</v>
      </c>
      <c r="L274" s="454"/>
      <c r="M274" s="223">
        <f t="shared" si="386"/>
        <v>0.61783439490445857</v>
      </c>
      <c r="N274" s="178">
        <f t="shared" si="387"/>
        <v>6.3830015923566883</v>
      </c>
      <c r="O274" s="178">
        <f t="shared" si="413"/>
        <v>1.5311999999999999</v>
      </c>
      <c r="P274" s="223">
        <f t="shared" si="388"/>
        <v>0.26595839968152868</v>
      </c>
      <c r="Q274" s="223">
        <f t="shared" si="389"/>
        <v>24</v>
      </c>
      <c r="R274" s="223"/>
      <c r="S274" s="178">
        <f t="shared" si="390"/>
        <v>146.95729246327022</v>
      </c>
      <c r="T274" s="178">
        <f t="shared" si="391"/>
        <v>24</v>
      </c>
      <c r="U274" s="223">
        <f t="shared" si="392"/>
        <v>0.34783635377102551</v>
      </c>
      <c r="V274" s="223">
        <f t="shared" si="393"/>
        <v>1.0898872418158798</v>
      </c>
      <c r="W274" s="223">
        <f t="shared" si="394"/>
        <v>0.67415705679332771</v>
      </c>
      <c r="X274" s="203">
        <f t="shared" si="395"/>
        <v>350</v>
      </c>
      <c r="Y274" s="454">
        <f t="shared" si="362"/>
        <v>350</v>
      </c>
      <c r="AA274" s="223">
        <f t="shared" si="396"/>
        <v>0.56337482818035733</v>
      </c>
      <c r="AB274" s="179">
        <f t="shared" si="397"/>
        <v>1.0919017288444037</v>
      </c>
      <c r="AC274" s="179">
        <f t="shared" si="398"/>
        <v>0.10765124105357142</v>
      </c>
      <c r="AD274" s="179"/>
      <c r="AE274" s="179">
        <f t="shared" si="399"/>
        <v>0.56206185567010303</v>
      </c>
      <c r="AF274" s="563">
        <f t="shared" si="400"/>
        <v>782.8319882611886</v>
      </c>
      <c r="AG274" s="546">
        <f t="shared" si="401"/>
        <v>2.8524639175257726E-2</v>
      </c>
      <c r="AI274" s="179">
        <f t="shared" si="402"/>
        <v>0.43370882336545286</v>
      </c>
      <c r="AJ274" s="179">
        <f t="shared" si="403"/>
        <v>0.43370882336545286</v>
      </c>
      <c r="AK274" s="179">
        <f t="shared" si="404"/>
        <v>1.3064509802707058</v>
      </c>
      <c r="AM274" s="563">
        <f t="shared" si="405"/>
        <v>63.8</v>
      </c>
      <c r="AN274" s="472">
        <f t="shared" si="406"/>
        <v>350</v>
      </c>
      <c r="AP274">
        <f t="shared" si="407"/>
        <v>63.8</v>
      </c>
      <c r="AQ274">
        <f t="shared" si="408"/>
        <v>350</v>
      </c>
      <c r="AS274" s="6">
        <f t="shared" si="414"/>
        <v>2.8571428571428572</v>
      </c>
      <c r="AT274" s="6">
        <f t="shared" si="409"/>
        <v>1.3589543132117523</v>
      </c>
      <c r="AU274" s="6">
        <f t="shared" si="380"/>
        <v>1.4981885439311049</v>
      </c>
      <c r="AV274" s="6"/>
      <c r="AW274" s="179">
        <f t="shared" si="381"/>
        <v>0.47563400962411329</v>
      </c>
      <c r="AX274" s="179"/>
      <c r="CD274" s="581">
        <f t="shared" si="410"/>
        <v>-50</v>
      </c>
      <c r="CE274">
        <f t="shared" si="411"/>
        <v>-50</v>
      </c>
    </row>
    <row r="275" spans="5:83" x14ac:dyDescent="0.2">
      <c r="E275" s="176">
        <v>59</v>
      </c>
      <c r="F275" s="223">
        <f t="shared" si="412"/>
        <v>6.4899999999999999E-2</v>
      </c>
      <c r="G275" s="223"/>
      <c r="H275" s="223">
        <f t="shared" si="382"/>
        <v>1.5575999999999999</v>
      </c>
      <c r="I275" s="559">
        <f t="shared" si="383"/>
        <v>15</v>
      </c>
      <c r="J275" s="454">
        <f t="shared" si="384"/>
        <v>24.25</v>
      </c>
      <c r="K275" s="454">
        <f t="shared" si="385"/>
        <v>39.25</v>
      </c>
      <c r="L275" s="454"/>
      <c r="M275" s="223">
        <f t="shared" si="386"/>
        <v>0.61783439490445857</v>
      </c>
      <c r="N275" s="178">
        <f t="shared" si="387"/>
        <v>6.3830015923566883</v>
      </c>
      <c r="O275" s="178">
        <f t="shared" si="413"/>
        <v>1.5575999999999999</v>
      </c>
      <c r="P275" s="223">
        <f t="shared" si="388"/>
        <v>0.26595839968152868</v>
      </c>
      <c r="Q275" s="223">
        <f t="shared" si="389"/>
        <v>24</v>
      </c>
      <c r="R275" s="223"/>
      <c r="S275" s="178">
        <f t="shared" si="390"/>
        <v>144.2131692674063</v>
      </c>
      <c r="T275" s="178">
        <f t="shared" si="391"/>
        <v>24</v>
      </c>
      <c r="U275" s="223">
        <f t="shared" si="392"/>
        <v>0.35383353228431907</v>
      </c>
      <c r="V275" s="223">
        <f t="shared" si="393"/>
        <v>1.108678401157533</v>
      </c>
      <c r="W275" s="223">
        <f t="shared" si="394"/>
        <v>0.68578045432424728</v>
      </c>
      <c r="X275" s="203">
        <f t="shared" si="395"/>
        <v>350</v>
      </c>
      <c r="Y275" s="454">
        <f t="shared" si="362"/>
        <v>350</v>
      </c>
      <c r="AA275" s="223">
        <f t="shared" si="396"/>
        <v>0.56337482818035733</v>
      </c>
      <c r="AB275" s="179">
        <f t="shared" si="397"/>
        <v>1.0919017288444037</v>
      </c>
      <c r="AC275" s="179">
        <f t="shared" si="398"/>
        <v>0.10765124105357142</v>
      </c>
      <c r="AD275" s="179"/>
      <c r="AE275" s="179">
        <f t="shared" si="399"/>
        <v>0.56206185567010303</v>
      </c>
      <c r="AF275" s="563">
        <f t="shared" si="400"/>
        <v>796.32909150707133</v>
      </c>
      <c r="AG275" s="546">
        <f t="shared" si="401"/>
        <v>2.8524639175257726E-2</v>
      </c>
      <c r="AI275" s="179">
        <f t="shared" si="402"/>
        <v>0.43743171416721782</v>
      </c>
      <c r="AJ275" s="179">
        <f t="shared" si="403"/>
        <v>0.43743171416721782</v>
      </c>
      <c r="AK275" s="179">
        <f t="shared" si="404"/>
        <v>1.3092086771609019</v>
      </c>
      <c r="AM275" s="563">
        <f t="shared" si="405"/>
        <v>64.900000000000006</v>
      </c>
      <c r="AN275" s="472">
        <f t="shared" si="406"/>
        <v>350</v>
      </c>
      <c r="AP275">
        <f t="shared" si="407"/>
        <v>64.900000000000006</v>
      </c>
      <c r="AQ275">
        <f t="shared" si="408"/>
        <v>350</v>
      </c>
      <c r="AS275" s="6">
        <f t="shared" si="414"/>
        <v>2.8571428571428572</v>
      </c>
      <c r="AT275" s="6">
        <f t="shared" si="409"/>
        <v>1.3706193710572825</v>
      </c>
      <c r="AU275" s="6">
        <f t="shared" si="380"/>
        <v>1.4865234860855747</v>
      </c>
      <c r="AV275" s="6"/>
      <c r="AW275" s="179">
        <f t="shared" si="381"/>
        <v>0.47971677987004885</v>
      </c>
      <c r="AX275" s="179"/>
      <c r="CD275" s="581">
        <f t="shared" si="410"/>
        <v>-50</v>
      </c>
      <c r="CE275">
        <f t="shared" si="411"/>
        <v>-50</v>
      </c>
    </row>
    <row r="276" spans="5:83" x14ac:dyDescent="0.2">
      <c r="E276" s="176">
        <v>60</v>
      </c>
      <c r="F276" s="223">
        <f t="shared" si="412"/>
        <v>6.6000000000000003E-2</v>
      </c>
      <c r="G276" s="223"/>
      <c r="H276" s="223">
        <f t="shared" si="382"/>
        <v>1.5840000000000001</v>
      </c>
      <c r="I276" s="559">
        <f t="shared" si="383"/>
        <v>15</v>
      </c>
      <c r="J276" s="454">
        <f t="shared" si="384"/>
        <v>24.25</v>
      </c>
      <c r="K276" s="454">
        <f t="shared" si="385"/>
        <v>39.25</v>
      </c>
      <c r="L276" s="454"/>
      <c r="M276" s="223">
        <f t="shared" si="386"/>
        <v>0.61783439490445857</v>
      </c>
      <c r="N276" s="178">
        <f t="shared" si="387"/>
        <v>6.3830015923566883</v>
      </c>
      <c r="O276" s="178">
        <f t="shared" si="413"/>
        <v>1.5840000000000001</v>
      </c>
      <c r="P276" s="223">
        <f t="shared" si="388"/>
        <v>0.26595839968152868</v>
      </c>
      <c r="Q276" s="223">
        <f t="shared" si="389"/>
        <v>24</v>
      </c>
      <c r="R276" s="223"/>
      <c r="S276" s="178">
        <f t="shared" si="390"/>
        <v>141.56053464269255</v>
      </c>
      <c r="T276" s="178">
        <f t="shared" si="391"/>
        <v>24</v>
      </c>
      <c r="U276" s="223">
        <f t="shared" si="392"/>
        <v>0.35983071079761264</v>
      </c>
      <c r="V276" s="223">
        <f t="shared" si="393"/>
        <v>1.127469560499186</v>
      </c>
      <c r="W276" s="223">
        <f t="shared" si="394"/>
        <v>0.69740385185516662</v>
      </c>
      <c r="X276" s="203">
        <f t="shared" si="395"/>
        <v>350</v>
      </c>
      <c r="Y276" s="454">
        <f t="shared" ref="Y276:Y316" si="415">MIN(1/(V276+W276)*1000, 350)</f>
        <v>350</v>
      </c>
      <c r="AA276" s="223">
        <f t="shared" si="396"/>
        <v>0.56337482818035733</v>
      </c>
      <c r="AB276" s="179">
        <f t="shared" si="397"/>
        <v>1.0919017288444037</v>
      </c>
      <c r="AC276" s="179">
        <f t="shared" si="398"/>
        <v>0.10765124105357142</v>
      </c>
      <c r="AD276" s="179"/>
      <c r="AE276" s="179">
        <f t="shared" si="399"/>
        <v>0.56206185567010303</v>
      </c>
      <c r="AF276" s="563">
        <f t="shared" si="400"/>
        <v>809.82619475295382</v>
      </c>
      <c r="AG276" s="546">
        <f t="shared" si="401"/>
        <v>2.8524639175257726E-2</v>
      </c>
      <c r="AI276" s="179">
        <f t="shared" si="402"/>
        <v>0.44112318648365728</v>
      </c>
      <c r="AJ276" s="179">
        <f t="shared" si="403"/>
        <v>0.44112318648365728</v>
      </c>
      <c r="AK276" s="179">
        <f t="shared" si="404"/>
        <v>1.3119431010990055</v>
      </c>
      <c r="AM276" s="563">
        <f t="shared" si="405"/>
        <v>66</v>
      </c>
      <c r="AN276" s="472">
        <f t="shared" si="406"/>
        <v>350</v>
      </c>
      <c r="AP276">
        <f t="shared" si="407"/>
        <v>66</v>
      </c>
      <c r="AQ276">
        <f t="shared" si="408"/>
        <v>350</v>
      </c>
      <c r="AS276" s="6">
        <f t="shared" si="414"/>
        <v>2.8571428571428572</v>
      </c>
      <c r="AT276" s="6">
        <f t="shared" si="409"/>
        <v>1.3821859843154596</v>
      </c>
      <c r="AU276" s="6">
        <f t="shared" si="380"/>
        <v>1.4749568728273976</v>
      </c>
      <c r="AV276" s="6"/>
      <c r="AW276" s="179">
        <f t="shared" si="381"/>
        <v>0.48376509451041083</v>
      </c>
      <c r="AX276" s="179"/>
      <c r="CD276" s="581">
        <f t="shared" si="410"/>
        <v>-50</v>
      </c>
      <c r="CE276">
        <f t="shared" si="411"/>
        <v>-50</v>
      </c>
    </row>
    <row r="277" spans="5:83" x14ac:dyDescent="0.2">
      <c r="E277" s="176">
        <v>61</v>
      </c>
      <c r="F277" s="223">
        <f t="shared" si="412"/>
        <v>6.7099999999999993E-2</v>
      </c>
      <c r="G277" s="223"/>
      <c r="H277" s="223">
        <f t="shared" si="382"/>
        <v>1.6103999999999998</v>
      </c>
      <c r="I277" s="559">
        <f t="shared" si="383"/>
        <v>15</v>
      </c>
      <c r="J277" s="454">
        <f t="shared" si="384"/>
        <v>24.25</v>
      </c>
      <c r="K277" s="454">
        <f t="shared" si="385"/>
        <v>39.25</v>
      </c>
      <c r="L277" s="454"/>
      <c r="M277" s="223">
        <f t="shared" si="386"/>
        <v>0.61783439490445857</v>
      </c>
      <c r="N277" s="178">
        <f t="shared" si="387"/>
        <v>6.3830015923566883</v>
      </c>
      <c r="O277" s="178">
        <f t="shared" si="413"/>
        <v>1.6103999999999998</v>
      </c>
      <c r="P277" s="223">
        <f t="shared" si="388"/>
        <v>0.26595839968152868</v>
      </c>
      <c r="Q277" s="223">
        <f t="shared" si="389"/>
        <v>24</v>
      </c>
      <c r="R277" s="223"/>
      <c r="S277" s="178">
        <f t="shared" si="390"/>
        <v>138.99488924170501</v>
      </c>
      <c r="T277" s="178">
        <f t="shared" si="391"/>
        <v>24</v>
      </c>
      <c r="U277" s="223">
        <f t="shared" si="392"/>
        <v>0.36582788931090615</v>
      </c>
      <c r="V277" s="223">
        <f t="shared" si="393"/>
        <v>1.1462607198408392</v>
      </c>
      <c r="W277" s="223">
        <f t="shared" si="394"/>
        <v>0.70902724938608619</v>
      </c>
      <c r="X277" s="203">
        <f t="shared" si="395"/>
        <v>350</v>
      </c>
      <c r="Y277" s="454">
        <f t="shared" si="415"/>
        <v>350</v>
      </c>
      <c r="AA277" s="223">
        <f t="shared" si="396"/>
        <v>0.56337482818035733</v>
      </c>
      <c r="AB277" s="179">
        <f t="shared" si="397"/>
        <v>1.0919017288444037</v>
      </c>
      <c r="AC277" s="179">
        <f t="shared" si="398"/>
        <v>0.10765124105357142</v>
      </c>
      <c r="AD277" s="179"/>
      <c r="AE277" s="179">
        <f t="shared" si="399"/>
        <v>0.56206185567010303</v>
      </c>
      <c r="AF277" s="563">
        <f t="shared" si="400"/>
        <v>823.32329799883632</v>
      </c>
      <c r="AG277" s="546">
        <f t="shared" si="401"/>
        <v>2.8524639175257726E-2</v>
      </c>
      <c r="AI277" s="179">
        <f t="shared" si="402"/>
        <v>0.4447840225859292</v>
      </c>
      <c r="AJ277" s="179">
        <f t="shared" si="403"/>
        <v>0.4447840225859292</v>
      </c>
      <c r="AK277" s="179">
        <f t="shared" si="404"/>
        <v>1.3146548315451327</v>
      </c>
      <c r="AM277" s="563">
        <f t="shared" si="405"/>
        <v>67.099999999999994</v>
      </c>
      <c r="AN277" s="472">
        <f t="shared" si="406"/>
        <v>350</v>
      </c>
      <c r="AP277">
        <f t="shared" si="407"/>
        <v>67.099999999999994</v>
      </c>
      <c r="AQ277">
        <f t="shared" si="408"/>
        <v>350</v>
      </c>
      <c r="AS277" s="6">
        <f t="shared" si="414"/>
        <v>2.8571428571428572</v>
      </c>
      <c r="AT277" s="6">
        <f t="shared" si="409"/>
        <v>1.3936566041025782</v>
      </c>
      <c r="AU277" s="6">
        <f t="shared" si="380"/>
        <v>1.463486253040279</v>
      </c>
      <c r="AV277" s="6"/>
      <c r="AW277" s="179">
        <f t="shared" si="381"/>
        <v>0.48777981143590238</v>
      </c>
      <c r="AX277" s="179"/>
      <c r="CD277" s="581">
        <f t="shared" si="410"/>
        <v>-50</v>
      </c>
      <c r="CE277">
        <f t="shared" si="411"/>
        <v>-50</v>
      </c>
    </row>
    <row r="278" spans="5:83" x14ac:dyDescent="0.2">
      <c r="E278" s="176">
        <v>62</v>
      </c>
      <c r="F278" s="223">
        <f t="shared" si="412"/>
        <v>6.8199999999999997E-2</v>
      </c>
      <c r="G278" s="223"/>
      <c r="H278" s="223">
        <f t="shared" si="382"/>
        <v>1.6368</v>
      </c>
      <c r="I278" s="559">
        <f t="shared" si="383"/>
        <v>15</v>
      </c>
      <c r="J278" s="454">
        <f t="shared" si="384"/>
        <v>24.25</v>
      </c>
      <c r="K278" s="454">
        <f t="shared" si="385"/>
        <v>39.25</v>
      </c>
      <c r="L278" s="454"/>
      <c r="M278" s="223">
        <f t="shared" si="386"/>
        <v>0.61783439490445857</v>
      </c>
      <c r="N278" s="178">
        <f t="shared" si="387"/>
        <v>6.3830015923566883</v>
      </c>
      <c r="O278" s="178">
        <f t="shared" si="413"/>
        <v>1.6368</v>
      </c>
      <c r="P278" s="223">
        <f t="shared" si="388"/>
        <v>0.26595839968152868</v>
      </c>
      <c r="Q278" s="223">
        <f t="shared" si="389"/>
        <v>24</v>
      </c>
      <c r="R278" s="223"/>
      <c r="S278" s="178">
        <f t="shared" si="390"/>
        <v>136.51202399810029</v>
      </c>
      <c r="T278" s="178">
        <f t="shared" si="391"/>
        <v>24</v>
      </c>
      <c r="U278" s="223">
        <f t="shared" si="392"/>
        <v>0.37182506782419972</v>
      </c>
      <c r="V278" s="223">
        <f t="shared" si="393"/>
        <v>1.1650518791824922</v>
      </c>
      <c r="W278" s="223">
        <f t="shared" si="394"/>
        <v>0.72065064691700553</v>
      </c>
      <c r="X278" s="203">
        <f t="shared" si="395"/>
        <v>350</v>
      </c>
      <c r="Y278" s="454">
        <f t="shared" si="415"/>
        <v>350</v>
      </c>
      <c r="AA278" s="223">
        <f t="shared" si="396"/>
        <v>0.56337482818035733</v>
      </c>
      <c r="AB278" s="179">
        <f t="shared" si="397"/>
        <v>1.0919017288444037</v>
      </c>
      <c r="AC278" s="179">
        <f t="shared" si="398"/>
        <v>0.10765124105357142</v>
      </c>
      <c r="AD278" s="179"/>
      <c r="AE278" s="179">
        <f t="shared" si="399"/>
        <v>0.56206185567010303</v>
      </c>
      <c r="AF278" s="563">
        <f t="shared" si="400"/>
        <v>836.82040124471894</v>
      </c>
      <c r="AG278" s="546">
        <f t="shared" si="401"/>
        <v>2.8524639175257726E-2</v>
      </c>
      <c r="AI278" s="179">
        <f t="shared" si="402"/>
        <v>0.44841497281195386</v>
      </c>
      <c r="AJ278" s="179">
        <f t="shared" si="403"/>
        <v>0.44841497281195386</v>
      </c>
      <c r="AK278" s="179">
        <f t="shared" si="404"/>
        <v>1.3173444243051509</v>
      </c>
      <c r="AM278" s="563">
        <f t="shared" si="405"/>
        <v>68.2</v>
      </c>
      <c r="AN278" s="472">
        <f t="shared" si="406"/>
        <v>350</v>
      </c>
      <c r="AP278">
        <f t="shared" si="407"/>
        <v>68.2</v>
      </c>
      <c r="AQ278">
        <f t="shared" si="408"/>
        <v>350</v>
      </c>
      <c r="AS278" s="6">
        <f t="shared" si="414"/>
        <v>2.8571428571428572</v>
      </c>
      <c r="AT278" s="6">
        <f t="shared" si="409"/>
        <v>1.4050335814774551</v>
      </c>
      <c r="AU278" s="6">
        <f t="shared" si="380"/>
        <v>1.4521092756654022</v>
      </c>
      <c r="AV278" s="6"/>
      <c r="AW278" s="179">
        <f t="shared" si="381"/>
        <v>0.49176175351710927</v>
      </c>
      <c r="AX278" s="179"/>
      <c r="CD278" s="581">
        <f t="shared" si="410"/>
        <v>-50</v>
      </c>
      <c r="CE278">
        <f t="shared" si="411"/>
        <v>-50</v>
      </c>
    </row>
    <row r="279" spans="5:83" x14ac:dyDescent="0.2">
      <c r="E279" s="176">
        <v>63</v>
      </c>
      <c r="F279" s="223">
        <f t="shared" si="412"/>
        <v>6.93E-2</v>
      </c>
      <c r="G279" s="223"/>
      <c r="H279" s="223">
        <f t="shared" si="382"/>
        <v>1.6632</v>
      </c>
      <c r="I279" s="559">
        <f t="shared" si="383"/>
        <v>15</v>
      </c>
      <c r="J279" s="454">
        <f t="shared" si="384"/>
        <v>24.25</v>
      </c>
      <c r="K279" s="454">
        <f t="shared" si="385"/>
        <v>39.25</v>
      </c>
      <c r="L279" s="454"/>
      <c r="M279" s="223">
        <f t="shared" si="386"/>
        <v>0.61783439490445857</v>
      </c>
      <c r="N279" s="178">
        <f t="shared" si="387"/>
        <v>6.3830015923566883</v>
      </c>
      <c r="O279" s="178">
        <f t="shared" si="413"/>
        <v>1.6632</v>
      </c>
      <c r="P279" s="223">
        <f t="shared" si="388"/>
        <v>0.26595839968152868</v>
      </c>
      <c r="Q279" s="223">
        <f t="shared" si="389"/>
        <v>24</v>
      </c>
      <c r="R279" s="223"/>
      <c r="S279" s="178">
        <f t="shared" si="390"/>
        <v>134.10799708843933</v>
      </c>
      <c r="T279" s="178">
        <f t="shared" si="391"/>
        <v>24</v>
      </c>
      <c r="U279" s="223">
        <f t="shared" si="392"/>
        <v>0.37782224633749328</v>
      </c>
      <c r="V279" s="223">
        <f t="shared" si="393"/>
        <v>1.1838430385241456</v>
      </c>
      <c r="W279" s="223">
        <f t="shared" si="394"/>
        <v>0.7322740444479251</v>
      </c>
      <c r="X279" s="203">
        <f t="shared" si="395"/>
        <v>350</v>
      </c>
      <c r="Y279" s="454">
        <f t="shared" si="415"/>
        <v>350</v>
      </c>
      <c r="AA279" s="223">
        <f t="shared" si="396"/>
        <v>0.56337482818035733</v>
      </c>
      <c r="AB279" s="179">
        <f t="shared" si="397"/>
        <v>1.0919017288444037</v>
      </c>
      <c r="AC279" s="179">
        <f t="shared" si="398"/>
        <v>0.10765124105357142</v>
      </c>
      <c r="AD279" s="179"/>
      <c r="AE279" s="179">
        <f t="shared" si="399"/>
        <v>0.56206185567010303</v>
      </c>
      <c r="AF279" s="563">
        <f t="shared" si="400"/>
        <v>850.31750449060155</v>
      </c>
      <c r="AG279" s="546">
        <f t="shared" si="401"/>
        <v>2.8524639175257726E-2</v>
      </c>
      <c r="AI279" s="179">
        <f t="shared" si="402"/>
        <v>0.45201675736212504</v>
      </c>
      <c r="AJ279" s="179">
        <f t="shared" si="403"/>
        <v>0.45201675736212504</v>
      </c>
      <c r="AK279" s="179">
        <f t="shared" si="404"/>
        <v>1.3200124128608333</v>
      </c>
      <c r="AM279" s="563">
        <f t="shared" si="405"/>
        <v>69.3</v>
      </c>
      <c r="AN279" s="472">
        <f t="shared" si="406"/>
        <v>350</v>
      </c>
      <c r="AP279">
        <f t="shared" si="407"/>
        <v>69.3</v>
      </c>
      <c r="AQ279">
        <f t="shared" si="408"/>
        <v>350</v>
      </c>
      <c r="AS279" s="6">
        <f t="shared" si="414"/>
        <v>2.8571428571428572</v>
      </c>
      <c r="AT279" s="6">
        <f t="shared" si="409"/>
        <v>1.4163191730679916</v>
      </c>
      <c r="AU279" s="6">
        <f t="shared" si="380"/>
        <v>1.4408236840748656</v>
      </c>
      <c r="AV279" s="6"/>
      <c r="AW279" s="179">
        <f t="shared" si="381"/>
        <v>0.49571171057379704</v>
      </c>
      <c r="AX279" s="179"/>
      <c r="CD279" s="581">
        <f t="shared" si="410"/>
        <v>-50</v>
      </c>
      <c r="CE279">
        <f t="shared" si="411"/>
        <v>-50</v>
      </c>
    </row>
    <row r="280" spans="5:83" x14ac:dyDescent="0.2">
      <c r="E280" s="176">
        <v>64</v>
      </c>
      <c r="F280" s="223">
        <f t="shared" si="412"/>
        <v>7.0400000000000004E-2</v>
      </c>
      <c r="G280" s="223"/>
      <c r="H280" s="223">
        <f t="shared" ref="H280:H311" si="416">F280*Vout</f>
        <v>1.6896</v>
      </c>
      <c r="I280" s="559">
        <f t="shared" ref="I280:I316" si="417">VIN_max</f>
        <v>15</v>
      </c>
      <c r="J280" s="454">
        <f t="shared" ref="J280:J316" si="418">(T280+Vfwd1)*Nps</f>
        <v>24.25</v>
      </c>
      <c r="K280" s="454">
        <f t="shared" ref="K280:K316" si="419">(Vout+Vfwd1)*Nps+I280</f>
        <v>39.25</v>
      </c>
      <c r="L280" s="454"/>
      <c r="M280" s="223">
        <f t="shared" ref="M280:M316" si="420">(Vout+Vfwd1)*Nps/((Vout+Vfwd1)*Nps+I280)</f>
        <v>0.61783439490445857</v>
      </c>
      <c r="N280" s="178">
        <f t="shared" ref="N280:N311" si="421">M280*I280*Isw_max*0.5*Efficiency</f>
        <v>6.3830015923566883</v>
      </c>
      <c r="O280" s="178">
        <f t="shared" si="413"/>
        <v>1.6896</v>
      </c>
      <c r="P280" s="223">
        <f t="shared" ref="P280:P311" si="422">N280/Vout</f>
        <v>0.26595839968152868</v>
      </c>
      <c r="Q280" s="223">
        <f t="shared" ref="Q280:Q316" si="423">MIN(Vout,N280/F280)</f>
        <v>24</v>
      </c>
      <c r="R280" s="223"/>
      <c r="S280" s="178">
        <f t="shared" ref="S280:S316" si="424">(SQRT(Isw_max^2*Nps^2*I280^2+4*Isw_max*F280/Efficiency*(Nps^2*Vfwd1*I280-Nps*I280^2)+4*(F280/Efficiency)^2*Nps^2*Vfwd1^2+8*(F280/Efficiency)^2*Nps*Vfwd1*I280+4*(F280/Efficiency)^2*I280^2)-2*F280/Efficiency*I280-2*F280/Efficiency*Nps*Vfwd1+Isw_max*Nps*I280)/(4*F280/Efficiency*Nps)</f>
        <v>131.77911305384075</v>
      </c>
      <c r="T280" s="178">
        <f t="shared" ref="T280:T311" si="425">MIN(Vout, S280)</f>
        <v>24</v>
      </c>
      <c r="U280" s="223">
        <f t="shared" ref="U280:U316" si="426">MIN(2*Vout*F280/(Efficiency*I280*M280), Isw_max)</f>
        <v>0.38381942485078679</v>
      </c>
      <c r="V280" s="223">
        <f t="shared" ref="V280:V311" si="427">L*U280/I280*1000000</f>
        <v>1.2026341978657986</v>
      </c>
      <c r="W280" s="223">
        <f t="shared" ref="W280:W316" si="428">L*U280/J280*1000000</f>
        <v>0.74389744197884444</v>
      </c>
      <c r="X280" s="203">
        <f t="shared" ref="X280:X316" si="429">IF(1/((350000*L)*(1/I280+1/J280))&gt;Isw_min, 350, 0.001/((Isw_min*L)*(1/I280+1/J280)))</f>
        <v>350</v>
      </c>
      <c r="Y280" s="454">
        <f t="shared" si="415"/>
        <v>350</v>
      </c>
      <c r="AA280" s="223">
        <f t="shared" ref="AA280:AA316" si="430">1/((X280*1000*L)*(1/I280+1/J280))</f>
        <v>0.56337482818035733</v>
      </c>
      <c r="AB280" s="179">
        <f t="shared" ref="AB280:AB311" si="431">L*AA280/J280*1000000</f>
        <v>1.0919017288444037</v>
      </c>
      <c r="AC280" s="179">
        <f t="shared" ref="AC280:AC311" si="432">0.5*AB280*AA280*Nps*X280/1000</f>
        <v>0.10765124105357142</v>
      </c>
      <c r="AD280" s="179"/>
      <c r="AE280" s="179">
        <f t="shared" ref="AE280:AE316" si="433">L*Isw_min/J280*1000000</f>
        <v>0.56206185567010303</v>
      </c>
      <c r="AF280" s="563">
        <f t="shared" ref="AF280:AF311" si="434">MAX(10000,F280/(0.5*AE280/1000000*Isw_min*Nps))/1000</f>
        <v>863.81460773648416</v>
      </c>
      <c r="AG280" s="546">
        <f t="shared" ref="AG280:AG316" si="435">0.5*AE280/1000000*Isw_min*Nps*X280*1000</f>
        <v>2.8524639175257726E-2</v>
      </c>
      <c r="AI280" s="179">
        <f t="shared" ref="AI280:AI316" si="436">SQRT(F280/(0.5*L/J280*Fsw_DCM*Nps))</f>
        <v>0.45559006796724089</v>
      </c>
      <c r="AJ280" s="179">
        <f t="shared" ref="AJ280:AJ311" si="437">MAX(IF(F280&gt;AC280,U280,AI280),Isw_min)</f>
        <v>0.45559006796724089</v>
      </c>
      <c r="AK280" s="179">
        <f t="shared" ref="AK280:AK311" si="438">IF(F280&gt;AG280, (AJ280-Isw_min)/1.08*0.8+1.2, AF280*0.2/350+1)</f>
        <v>1.3226593096053636</v>
      </c>
      <c r="AM280" s="563">
        <f t="shared" ref="AM280:AM316" si="439">F280*1000</f>
        <v>70.400000000000006</v>
      </c>
      <c r="AN280" s="472">
        <f t="shared" ref="AN280:AN316" si="440">IF(F280&gt;AG280, Y280, AF280)</f>
        <v>350</v>
      </c>
      <c r="AP280">
        <f t="shared" ref="AP280:AP316" si="441">IF(H280&gt;N280, "",AM280)</f>
        <v>70.400000000000006</v>
      </c>
      <c r="AQ280">
        <f t="shared" ref="AQ280:AQ316" si="442">IF(H280&gt;N280, "",AN280)</f>
        <v>350</v>
      </c>
      <c r="AS280" s="6">
        <f t="shared" si="414"/>
        <v>2.8571428571428572</v>
      </c>
      <c r="AT280" s="6">
        <f t="shared" ref="AT280:AT316" si="443">L*AJ280/I280*1000000</f>
        <v>1.4275155462973548</v>
      </c>
      <c r="AU280" s="6">
        <f t="shared" si="380"/>
        <v>1.4296273108455024</v>
      </c>
      <c r="AV280" s="6"/>
      <c r="AW280" s="179">
        <f t="shared" si="381"/>
        <v>0.49963044120407418</v>
      </c>
      <c r="AX280" s="179"/>
      <c r="CD280" s="581">
        <f t="shared" ref="CD280:CD316" si="444">IF(ABS(F280-Ioutmax_Vinmax)&lt;Iout/200, AN280, -50)</f>
        <v>-50</v>
      </c>
      <c r="CE280">
        <f t="shared" ref="CE280:CE316" si="445">IF(ABS(F280-Ioutmax_Vinmin)&lt;Iout/200, N280*BZ280, -50)</f>
        <v>-50</v>
      </c>
    </row>
    <row r="281" spans="5:83" x14ac:dyDescent="0.2">
      <c r="E281" s="176">
        <v>65</v>
      </c>
      <c r="F281" s="223">
        <f t="shared" ref="F281:F312" si="446">IF(PLOT_TYPE=1, E281/100*Iout_max, min_I*EXP(N281*rr/100))</f>
        <v>7.1500000000000008E-2</v>
      </c>
      <c r="G281" s="223"/>
      <c r="H281" s="223">
        <f t="shared" si="416"/>
        <v>1.7160000000000002</v>
      </c>
      <c r="I281" s="559">
        <f t="shared" si="417"/>
        <v>15</v>
      </c>
      <c r="J281" s="454">
        <f t="shared" si="418"/>
        <v>24.25</v>
      </c>
      <c r="K281" s="454">
        <f t="shared" si="419"/>
        <v>39.25</v>
      </c>
      <c r="L281" s="454"/>
      <c r="M281" s="223">
        <f t="shared" si="420"/>
        <v>0.61783439490445857</v>
      </c>
      <c r="N281" s="178">
        <f t="shared" si="421"/>
        <v>6.3830015923566883</v>
      </c>
      <c r="O281" s="178">
        <f t="shared" si="413"/>
        <v>1.7160000000000002</v>
      </c>
      <c r="P281" s="223">
        <f t="shared" si="422"/>
        <v>0.26595839968152868</v>
      </c>
      <c r="Q281" s="223">
        <f t="shared" si="423"/>
        <v>24</v>
      </c>
      <c r="R281" s="223"/>
      <c r="S281" s="178">
        <f t="shared" si="424"/>
        <v>129.52190384886543</v>
      </c>
      <c r="T281" s="178">
        <f t="shared" si="425"/>
        <v>24</v>
      </c>
      <c r="U281" s="223">
        <f t="shared" si="426"/>
        <v>0.38981660336408042</v>
      </c>
      <c r="V281" s="223">
        <f t="shared" si="427"/>
        <v>1.221425357207452</v>
      </c>
      <c r="W281" s="223">
        <f t="shared" si="428"/>
        <v>0.75552083950976412</v>
      </c>
      <c r="X281" s="203">
        <f t="shared" si="429"/>
        <v>350</v>
      </c>
      <c r="Y281" s="454">
        <f t="shared" si="415"/>
        <v>350</v>
      </c>
      <c r="AA281" s="223">
        <f t="shared" si="430"/>
        <v>0.56337482818035733</v>
      </c>
      <c r="AB281" s="179">
        <f t="shared" si="431"/>
        <v>1.0919017288444037</v>
      </c>
      <c r="AC281" s="179">
        <f t="shared" si="432"/>
        <v>0.10765124105357142</v>
      </c>
      <c r="AD281" s="179"/>
      <c r="AE281" s="179">
        <f t="shared" si="433"/>
        <v>0.56206185567010303</v>
      </c>
      <c r="AF281" s="563">
        <f t="shared" si="434"/>
        <v>877.31171098236678</v>
      </c>
      <c r="AG281" s="546">
        <f t="shared" si="435"/>
        <v>2.8524639175257726E-2</v>
      </c>
      <c r="AI281" s="179">
        <f t="shared" si="436"/>
        <v>0.45913556943959388</v>
      </c>
      <c r="AJ281" s="179">
        <f t="shared" si="437"/>
        <v>0.45913556943959388</v>
      </c>
      <c r="AK281" s="179">
        <f t="shared" si="438"/>
        <v>1.3252856069922918</v>
      </c>
      <c r="AM281" s="563">
        <f t="shared" si="439"/>
        <v>71.500000000000014</v>
      </c>
      <c r="AN281" s="472">
        <f t="shared" si="440"/>
        <v>350</v>
      </c>
      <c r="AP281">
        <f t="shared" si="441"/>
        <v>71.500000000000014</v>
      </c>
      <c r="AQ281">
        <f t="shared" si="442"/>
        <v>350</v>
      </c>
      <c r="AS281" s="6">
        <f t="shared" si="414"/>
        <v>2.8571428571428572</v>
      </c>
      <c r="AT281" s="6">
        <f t="shared" si="443"/>
        <v>1.4386247842440607</v>
      </c>
      <c r="AU281" s="6">
        <f t="shared" si="380"/>
        <v>1.4185180728987965</v>
      </c>
      <c r="AV281" s="6"/>
      <c r="AW281" s="179">
        <f t="shared" si="381"/>
        <v>0.5035186744854212</v>
      </c>
      <c r="AX281" s="179"/>
      <c r="CD281" s="581">
        <f t="shared" si="444"/>
        <v>-50</v>
      </c>
      <c r="CE281">
        <f t="shared" si="445"/>
        <v>-50</v>
      </c>
    </row>
    <row r="282" spans="5:83" x14ac:dyDescent="0.2">
      <c r="E282" s="176">
        <v>66</v>
      </c>
      <c r="F282" s="223">
        <f t="shared" si="446"/>
        <v>7.2599999999999998E-2</v>
      </c>
      <c r="G282" s="223"/>
      <c r="H282" s="223">
        <f t="shared" si="416"/>
        <v>1.7423999999999999</v>
      </c>
      <c r="I282" s="559">
        <f t="shared" si="417"/>
        <v>15</v>
      </c>
      <c r="J282" s="454">
        <f t="shared" si="418"/>
        <v>24.25</v>
      </c>
      <c r="K282" s="454">
        <f t="shared" si="419"/>
        <v>39.25</v>
      </c>
      <c r="L282" s="454"/>
      <c r="M282" s="223">
        <f t="shared" si="420"/>
        <v>0.61783439490445857</v>
      </c>
      <c r="N282" s="178">
        <f t="shared" si="421"/>
        <v>6.3830015923566883</v>
      </c>
      <c r="O282" s="178">
        <f t="shared" si="413"/>
        <v>1.7423999999999999</v>
      </c>
      <c r="P282" s="223">
        <f t="shared" si="422"/>
        <v>0.26595839968152868</v>
      </c>
      <c r="Q282" s="223">
        <f t="shared" si="423"/>
        <v>24</v>
      </c>
      <c r="R282" s="223"/>
      <c r="S282" s="178">
        <f t="shared" si="424"/>
        <v>127.3331116132306</v>
      </c>
      <c r="T282" s="178">
        <f t="shared" si="425"/>
        <v>24</v>
      </c>
      <c r="U282" s="223">
        <f t="shared" si="426"/>
        <v>0.39581378187737387</v>
      </c>
      <c r="V282" s="223">
        <f t="shared" si="427"/>
        <v>1.2402165165491046</v>
      </c>
      <c r="W282" s="223">
        <f t="shared" si="428"/>
        <v>0.76714423704068335</v>
      </c>
      <c r="X282" s="203">
        <f t="shared" si="429"/>
        <v>350</v>
      </c>
      <c r="Y282" s="454">
        <f t="shared" si="415"/>
        <v>350</v>
      </c>
      <c r="AA282" s="223">
        <f t="shared" si="430"/>
        <v>0.56337482818035733</v>
      </c>
      <c r="AB282" s="179">
        <f t="shared" si="431"/>
        <v>1.0919017288444037</v>
      </c>
      <c r="AC282" s="179">
        <f t="shared" si="432"/>
        <v>0.10765124105357142</v>
      </c>
      <c r="AD282" s="179"/>
      <c r="AE282" s="179">
        <f t="shared" si="433"/>
        <v>0.56206185567010303</v>
      </c>
      <c r="AF282" s="563">
        <f t="shared" si="434"/>
        <v>890.80881422824928</v>
      </c>
      <c r="AG282" s="546">
        <f t="shared" si="435"/>
        <v>2.8524639175257726E-2</v>
      </c>
      <c r="AI282" s="179">
        <f t="shared" si="436"/>
        <v>0.46265390111707155</v>
      </c>
      <c r="AJ282" s="179">
        <f t="shared" si="437"/>
        <v>0.46265390111707155</v>
      </c>
      <c r="AK282" s="179">
        <f t="shared" si="438"/>
        <v>1.3278917786052382</v>
      </c>
      <c r="AM282" s="563">
        <f t="shared" si="439"/>
        <v>72.599999999999994</v>
      </c>
      <c r="AN282" s="472">
        <f t="shared" si="440"/>
        <v>350</v>
      </c>
      <c r="AP282">
        <f t="shared" si="441"/>
        <v>72.599999999999994</v>
      </c>
      <c r="AQ282">
        <f t="shared" si="442"/>
        <v>350</v>
      </c>
      <c r="AS282" s="6">
        <f t="shared" si="414"/>
        <v>2.8571428571428572</v>
      </c>
      <c r="AT282" s="6">
        <f t="shared" si="443"/>
        <v>1.4496488901668241</v>
      </c>
      <c r="AU282" s="6">
        <f t="shared" si="380"/>
        <v>1.4074939669760331</v>
      </c>
      <c r="AV282" s="6"/>
      <c r="AW282" s="179">
        <f t="shared" si="381"/>
        <v>0.50737711155838838</v>
      </c>
      <c r="AX282" s="179"/>
      <c r="CD282" s="581">
        <f t="shared" si="444"/>
        <v>-50</v>
      </c>
      <c r="CE282">
        <f t="shared" si="445"/>
        <v>-50</v>
      </c>
    </row>
    <row r="283" spans="5:83" x14ac:dyDescent="0.2">
      <c r="E283" s="176">
        <v>67</v>
      </c>
      <c r="F283" s="223">
        <f t="shared" si="446"/>
        <v>7.3700000000000002E-2</v>
      </c>
      <c r="G283" s="223"/>
      <c r="H283" s="223">
        <f t="shared" si="416"/>
        <v>1.7688000000000001</v>
      </c>
      <c r="I283" s="559">
        <f t="shared" si="417"/>
        <v>15</v>
      </c>
      <c r="J283" s="454">
        <f t="shared" si="418"/>
        <v>24.25</v>
      </c>
      <c r="K283" s="454">
        <f t="shared" si="419"/>
        <v>39.25</v>
      </c>
      <c r="L283" s="454"/>
      <c r="M283" s="223">
        <f t="shared" si="420"/>
        <v>0.61783439490445857</v>
      </c>
      <c r="N283" s="178">
        <f t="shared" si="421"/>
        <v>6.3830015923566883</v>
      </c>
      <c r="O283" s="178">
        <f t="shared" si="413"/>
        <v>1.7688000000000001</v>
      </c>
      <c r="P283" s="223">
        <f t="shared" si="422"/>
        <v>0.26595839968152868</v>
      </c>
      <c r="Q283" s="223">
        <f t="shared" si="423"/>
        <v>24</v>
      </c>
      <c r="R283" s="223"/>
      <c r="S283" s="178">
        <f t="shared" si="424"/>
        <v>125.2096729863549</v>
      </c>
      <c r="T283" s="178">
        <f t="shared" si="425"/>
        <v>24</v>
      </c>
      <c r="U283" s="223">
        <f t="shared" si="426"/>
        <v>0.40181096039066749</v>
      </c>
      <c r="V283" s="223">
        <f t="shared" si="427"/>
        <v>1.2590076758907582</v>
      </c>
      <c r="W283" s="223">
        <f t="shared" si="428"/>
        <v>0.77876763457160303</v>
      </c>
      <c r="X283" s="203">
        <f t="shared" si="429"/>
        <v>350</v>
      </c>
      <c r="Y283" s="454">
        <f t="shared" si="415"/>
        <v>350</v>
      </c>
      <c r="AA283" s="223">
        <f t="shared" si="430"/>
        <v>0.56337482818035733</v>
      </c>
      <c r="AB283" s="179">
        <f t="shared" si="431"/>
        <v>1.0919017288444037</v>
      </c>
      <c r="AC283" s="179">
        <f t="shared" si="432"/>
        <v>0.10765124105357142</v>
      </c>
      <c r="AD283" s="179"/>
      <c r="AE283" s="179">
        <f t="shared" si="433"/>
        <v>0.56206185567010303</v>
      </c>
      <c r="AF283" s="563">
        <f t="shared" si="434"/>
        <v>904.30591747413177</v>
      </c>
      <c r="AG283" s="546">
        <f t="shared" si="435"/>
        <v>2.8524639175257726E-2</v>
      </c>
      <c r="AI283" s="179">
        <f t="shared" si="436"/>
        <v>0.46614567820915165</v>
      </c>
      <c r="AJ283" s="179">
        <f t="shared" si="437"/>
        <v>0.46614567820915165</v>
      </c>
      <c r="AK283" s="179">
        <f t="shared" si="438"/>
        <v>1.3304782801549271</v>
      </c>
      <c r="AM283" s="563">
        <f t="shared" si="439"/>
        <v>73.7</v>
      </c>
      <c r="AN283" s="472">
        <f t="shared" si="440"/>
        <v>350</v>
      </c>
      <c r="AP283">
        <f t="shared" si="441"/>
        <v>73.7</v>
      </c>
      <c r="AQ283">
        <f t="shared" si="442"/>
        <v>350</v>
      </c>
      <c r="AS283" s="6">
        <f t="shared" si="414"/>
        <v>2.8571428571428572</v>
      </c>
      <c r="AT283" s="6">
        <f t="shared" si="443"/>
        <v>1.4605897917220083</v>
      </c>
      <c r="AU283" s="6">
        <f t="shared" si="380"/>
        <v>1.3965530654208489</v>
      </c>
      <c r="AV283" s="6"/>
      <c r="AW283" s="179">
        <f t="shared" si="381"/>
        <v>0.51120642710270292</v>
      </c>
      <c r="AX283" s="179"/>
      <c r="CD283" s="581">
        <f t="shared" si="444"/>
        <v>-50</v>
      </c>
      <c r="CE283">
        <f t="shared" si="445"/>
        <v>-50</v>
      </c>
    </row>
    <row r="284" spans="5:83" x14ac:dyDescent="0.2">
      <c r="E284" s="176">
        <v>68</v>
      </c>
      <c r="F284" s="223">
        <f t="shared" si="446"/>
        <v>7.4800000000000005E-2</v>
      </c>
      <c r="G284" s="223"/>
      <c r="H284" s="223">
        <f t="shared" si="416"/>
        <v>1.7952000000000001</v>
      </c>
      <c r="I284" s="559">
        <f t="shared" si="417"/>
        <v>15</v>
      </c>
      <c r="J284" s="454">
        <f t="shared" si="418"/>
        <v>24.25</v>
      </c>
      <c r="K284" s="454">
        <f t="shared" si="419"/>
        <v>39.25</v>
      </c>
      <c r="L284" s="454"/>
      <c r="M284" s="223">
        <f t="shared" si="420"/>
        <v>0.61783439490445857</v>
      </c>
      <c r="N284" s="178">
        <f t="shared" si="421"/>
        <v>6.3830015923566883</v>
      </c>
      <c r="O284" s="178">
        <f t="shared" si="413"/>
        <v>1.7952000000000001</v>
      </c>
      <c r="P284" s="223">
        <f t="shared" si="422"/>
        <v>0.26595839968152868</v>
      </c>
      <c r="Q284" s="223">
        <f t="shared" si="423"/>
        <v>24</v>
      </c>
      <c r="R284" s="223"/>
      <c r="S284" s="178">
        <f t="shared" si="424"/>
        <v>123.14870480591472</v>
      </c>
      <c r="T284" s="178">
        <f t="shared" si="425"/>
        <v>24</v>
      </c>
      <c r="U284" s="223">
        <f t="shared" si="426"/>
        <v>0.407808138903961</v>
      </c>
      <c r="V284" s="223">
        <f t="shared" si="427"/>
        <v>1.277798835232411</v>
      </c>
      <c r="W284" s="223">
        <f t="shared" si="428"/>
        <v>0.79039103210252226</v>
      </c>
      <c r="X284" s="203">
        <f t="shared" si="429"/>
        <v>350</v>
      </c>
      <c r="Y284" s="454">
        <f t="shared" si="415"/>
        <v>350</v>
      </c>
      <c r="AA284" s="223">
        <f t="shared" si="430"/>
        <v>0.56337482818035733</v>
      </c>
      <c r="AB284" s="179">
        <f t="shared" si="431"/>
        <v>1.0919017288444037</v>
      </c>
      <c r="AC284" s="179">
        <f t="shared" si="432"/>
        <v>0.10765124105357142</v>
      </c>
      <c r="AD284" s="179"/>
      <c r="AE284" s="179">
        <f t="shared" si="433"/>
        <v>0.56206185567010303</v>
      </c>
      <c r="AF284" s="563">
        <f t="shared" si="434"/>
        <v>917.8030207200145</v>
      </c>
      <c r="AG284" s="546">
        <f t="shared" si="435"/>
        <v>2.8524639175257726E-2</v>
      </c>
      <c r="AI284" s="179">
        <f t="shared" si="436"/>
        <v>0.4696114930528158</v>
      </c>
      <c r="AJ284" s="179">
        <f t="shared" si="437"/>
        <v>0.4696114930528158</v>
      </c>
      <c r="AK284" s="179">
        <f t="shared" si="438"/>
        <v>1.3330455504094931</v>
      </c>
      <c r="AM284" s="563">
        <f t="shared" si="439"/>
        <v>74.800000000000011</v>
      </c>
      <c r="AN284" s="472">
        <f t="shared" si="440"/>
        <v>350</v>
      </c>
      <c r="AP284">
        <f t="shared" si="441"/>
        <v>74.800000000000011</v>
      </c>
      <c r="AQ284">
        <f t="shared" si="442"/>
        <v>350</v>
      </c>
      <c r="AS284" s="6">
        <f t="shared" si="414"/>
        <v>2.8571428571428572</v>
      </c>
      <c r="AT284" s="6">
        <f t="shared" si="443"/>
        <v>1.4714493448988228</v>
      </c>
      <c r="AU284" s="6">
        <f t="shared" si="380"/>
        <v>1.3856935122440344</v>
      </c>
      <c r="AV284" s="6"/>
      <c r="AW284" s="179">
        <f t="shared" si="381"/>
        <v>0.51500727071458796</v>
      </c>
      <c r="AX284" s="179"/>
      <c r="CD284" s="581">
        <f t="shared" si="444"/>
        <v>-50</v>
      </c>
      <c r="CE284">
        <f t="shared" si="445"/>
        <v>-50</v>
      </c>
    </row>
    <row r="285" spans="5:83" x14ac:dyDescent="0.2">
      <c r="E285" s="176">
        <v>69</v>
      </c>
      <c r="F285" s="223">
        <f t="shared" si="446"/>
        <v>7.5899999999999995E-2</v>
      </c>
      <c r="G285" s="223"/>
      <c r="H285" s="223">
        <f t="shared" si="416"/>
        <v>1.8215999999999999</v>
      </c>
      <c r="I285" s="559">
        <f t="shared" si="417"/>
        <v>15</v>
      </c>
      <c r="J285" s="454">
        <f t="shared" si="418"/>
        <v>24.25</v>
      </c>
      <c r="K285" s="454">
        <f t="shared" si="419"/>
        <v>39.25</v>
      </c>
      <c r="L285" s="454"/>
      <c r="M285" s="223">
        <f t="shared" si="420"/>
        <v>0.61783439490445857</v>
      </c>
      <c r="N285" s="178">
        <f t="shared" si="421"/>
        <v>6.3830015923566883</v>
      </c>
      <c r="O285" s="178">
        <f t="shared" si="413"/>
        <v>1.8215999999999999</v>
      </c>
      <c r="P285" s="223">
        <f t="shared" si="422"/>
        <v>0.26595839968152868</v>
      </c>
      <c r="Q285" s="223">
        <f t="shared" si="423"/>
        <v>24</v>
      </c>
      <c r="R285" s="223"/>
      <c r="S285" s="178">
        <f t="shared" si="424"/>
        <v>121.14749105000408</v>
      </c>
      <c r="T285" s="178">
        <f t="shared" si="425"/>
        <v>24</v>
      </c>
      <c r="U285" s="223">
        <f t="shared" si="426"/>
        <v>0.41380531741725451</v>
      </c>
      <c r="V285" s="223">
        <f t="shared" si="427"/>
        <v>1.296589994574064</v>
      </c>
      <c r="W285" s="223">
        <f t="shared" si="428"/>
        <v>0.80201442963344172</v>
      </c>
      <c r="X285" s="203">
        <f t="shared" si="429"/>
        <v>350</v>
      </c>
      <c r="Y285" s="454">
        <f t="shared" si="415"/>
        <v>350</v>
      </c>
      <c r="AA285" s="223">
        <f t="shared" si="430"/>
        <v>0.56337482818035733</v>
      </c>
      <c r="AB285" s="179">
        <f t="shared" si="431"/>
        <v>1.0919017288444037</v>
      </c>
      <c r="AC285" s="179">
        <f t="shared" si="432"/>
        <v>0.10765124105357142</v>
      </c>
      <c r="AD285" s="179"/>
      <c r="AE285" s="179">
        <f t="shared" si="433"/>
        <v>0.56206185567010303</v>
      </c>
      <c r="AF285" s="563">
        <f t="shared" si="434"/>
        <v>931.30012396589689</v>
      </c>
      <c r="AG285" s="546">
        <f t="shared" si="435"/>
        <v>2.8524639175257726E-2</v>
      </c>
      <c r="AI285" s="179">
        <f t="shared" si="436"/>
        <v>0.4730519162856438</v>
      </c>
      <c r="AJ285" s="179">
        <f t="shared" si="437"/>
        <v>0.4730519162856438</v>
      </c>
      <c r="AK285" s="179">
        <f t="shared" si="438"/>
        <v>1.3355940120634398</v>
      </c>
      <c r="AM285" s="563">
        <f t="shared" si="439"/>
        <v>75.899999999999991</v>
      </c>
      <c r="AN285" s="472">
        <f t="shared" si="440"/>
        <v>350</v>
      </c>
      <c r="AP285">
        <f t="shared" si="441"/>
        <v>75.899999999999991</v>
      </c>
      <c r="AQ285">
        <f t="shared" si="442"/>
        <v>350</v>
      </c>
      <c r="AS285" s="6">
        <f t="shared" si="414"/>
        <v>2.8571428571428572</v>
      </c>
      <c r="AT285" s="6">
        <f t="shared" si="443"/>
        <v>1.4822293376950173</v>
      </c>
      <c r="AU285" s="6">
        <f t="shared" si="380"/>
        <v>1.3749135194478399</v>
      </c>
      <c r="AV285" s="6"/>
      <c r="AW285" s="179">
        <f t="shared" si="381"/>
        <v>0.51878026819325607</v>
      </c>
      <c r="AX285" s="179"/>
      <c r="CD285" s="581">
        <f t="shared" si="444"/>
        <v>-50</v>
      </c>
      <c r="CE285">
        <f t="shared" si="445"/>
        <v>-50</v>
      </c>
    </row>
    <row r="286" spans="5:83" x14ac:dyDescent="0.2">
      <c r="E286" s="176">
        <v>70</v>
      </c>
      <c r="F286" s="223">
        <f t="shared" si="446"/>
        <v>7.6999999999999999E-2</v>
      </c>
      <c r="G286" s="223"/>
      <c r="H286" s="223">
        <f t="shared" si="416"/>
        <v>1.8479999999999999</v>
      </c>
      <c r="I286" s="559">
        <f t="shared" si="417"/>
        <v>15</v>
      </c>
      <c r="J286" s="454">
        <f t="shared" si="418"/>
        <v>24.25</v>
      </c>
      <c r="K286" s="454">
        <f t="shared" si="419"/>
        <v>39.25</v>
      </c>
      <c r="L286" s="454"/>
      <c r="M286" s="223">
        <f t="shared" si="420"/>
        <v>0.61783439490445857</v>
      </c>
      <c r="N286" s="178">
        <f t="shared" si="421"/>
        <v>6.3830015923566883</v>
      </c>
      <c r="O286" s="178">
        <f t="shared" si="413"/>
        <v>1.8479999999999999</v>
      </c>
      <c r="P286" s="223">
        <f t="shared" si="422"/>
        <v>0.26595839968152868</v>
      </c>
      <c r="Q286" s="223">
        <f t="shared" si="423"/>
        <v>24</v>
      </c>
      <c r="R286" s="223"/>
      <c r="S286" s="178">
        <f t="shared" si="424"/>
        <v>119.20347089853806</v>
      </c>
      <c r="T286" s="178">
        <f t="shared" si="425"/>
        <v>24</v>
      </c>
      <c r="U286" s="223">
        <f t="shared" si="426"/>
        <v>0.41980249593054803</v>
      </c>
      <c r="V286" s="223">
        <f t="shared" si="427"/>
        <v>1.315381153915717</v>
      </c>
      <c r="W286" s="223">
        <f t="shared" si="428"/>
        <v>0.81363782716436106</v>
      </c>
      <c r="X286" s="203">
        <f t="shared" si="429"/>
        <v>350</v>
      </c>
      <c r="Y286" s="454">
        <f t="shared" si="415"/>
        <v>350</v>
      </c>
      <c r="AA286" s="223">
        <f t="shared" si="430"/>
        <v>0.56337482818035733</v>
      </c>
      <c r="AB286" s="179">
        <f t="shared" si="431"/>
        <v>1.0919017288444037</v>
      </c>
      <c r="AC286" s="179">
        <f t="shared" si="432"/>
        <v>0.10765124105357142</v>
      </c>
      <c r="AD286" s="179"/>
      <c r="AE286" s="179">
        <f t="shared" si="433"/>
        <v>0.56206185567010303</v>
      </c>
      <c r="AF286" s="563">
        <f t="shared" si="434"/>
        <v>944.7972272117795</v>
      </c>
      <c r="AG286" s="546">
        <f t="shared" si="435"/>
        <v>2.8524639175257726E-2</v>
      </c>
      <c r="AI286" s="179">
        <f t="shared" si="436"/>
        <v>0.4764674979426663</v>
      </c>
      <c r="AJ286" s="179">
        <f t="shared" si="437"/>
        <v>0.4764674979426663</v>
      </c>
      <c r="AK286" s="179">
        <f t="shared" si="438"/>
        <v>1.3381240725501231</v>
      </c>
      <c r="AM286" s="563">
        <f t="shared" si="439"/>
        <v>77</v>
      </c>
      <c r="AN286" s="472">
        <f t="shared" si="440"/>
        <v>350</v>
      </c>
      <c r="AP286">
        <f t="shared" si="441"/>
        <v>77</v>
      </c>
      <c r="AQ286">
        <f t="shared" si="442"/>
        <v>350</v>
      </c>
      <c r="AS286" s="6">
        <f t="shared" si="414"/>
        <v>2.8571428571428572</v>
      </c>
      <c r="AT286" s="6">
        <f t="shared" si="443"/>
        <v>1.4929314935536875</v>
      </c>
      <c r="AU286" s="6">
        <f t="shared" si="380"/>
        <v>1.3642113635891697</v>
      </c>
      <c r="AV286" s="6"/>
      <c r="AW286" s="179">
        <f t="shared" si="381"/>
        <v>0.52252602274379056</v>
      </c>
      <c r="AX286" s="179"/>
      <c r="CD286" s="581">
        <f t="shared" si="444"/>
        <v>-50</v>
      </c>
      <c r="CE286">
        <f t="shared" si="445"/>
        <v>-50</v>
      </c>
    </row>
    <row r="287" spans="5:83" x14ac:dyDescent="0.2">
      <c r="E287" s="176">
        <v>71</v>
      </c>
      <c r="F287" s="223">
        <f t="shared" si="446"/>
        <v>7.8100000000000003E-2</v>
      </c>
      <c r="G287" s="223"/>
      <c r="H287" s="223">
        <f t="shared" si="416"/>
        <v>1.8744000000000001</v>
      </c>
      <c r="I287" s="559">
        <f t="shared" si="417"/>
        <v>15</v>
      </c>
      <c r="J287" s="454">
        <f t="shared" si="418"/>
        <v>24.25</v>
      </c>
      <c r="K287" s="454">
        <f t="shared" si="419"/>
        <v>39.25</v>
      </c>
      <c r="L287" s="454"/>
      <c r="M287" s="223">
        <f t="shared" si="420"/>
        <v>0.61783439490445857</v>
      </c>
      <c r="N287" s="178">
        <f t="shared" si="421"/>
        <v>6.3830015923566883</v>
      </c>
      <c r="O287" s="178">
        <f t="shared" si="413"/>
        <v>1.8744000000000001</v>
      </c>
      <c r="P287" s="223">
        <f t="shared" si="422"/>
        <v>0.26595839968152868</v>
      </c>
      <c r="Q287" s="223">
        <f t="shared" si="423"/>
        <v>24</v>
      </c>
      <c r="R287" s="223"/>
      <c r="S287" s="178">
        <f t="shared" si="424"/>
        <v>117.31422780355183</v>
      </c>
      <c r="T287" s="178">
        <f t="shared" si="425"/>
        <v>24</v>
      </c>
      <c r="U287" s="223">
        <f t="shared" si="426"/>
        <v>0.42579967444384165</v>
      </c>
      <c r="V287" s="223">
        <f t="shared" si="427"/>
        <v>1.3341723132573704</v>
      </c>
      <c r="W287" s="223">
        <f t="shared" si="428"/>
        <v>0.82526122469528074</v>
      </c>
      <c r="X287" s="203">
        <f t="shared" si="429"/>
        <v>350</v>
      </c>
      <c r="Y287" s="454">
        <f t="shared" si="415"/>
        <v>350</v>
      </c>
      <c r="AA287" s="223">
        <f t="shared" si="430"/>
        <v>0.56337482818035733</v>
      </c>
      <c r="AB287" s="179">
        <f t="shared" si="431"/>
        <v>1.0919017288444037</v>
      </c>
      <c r="AC287" s="179">
        <f t="shared" si="432"/>
        <v>0.10765124105357142</v>
      </c>
      <c r="AD287" s="179"/>
      <c r="AE287" s="179">
        <f t="shared" si="433"/>
        <v>0.56206185567010303</v>
      </c>
      <c r="AF287" s="563">
        <f t="shared" si="434"/>
        <v>958.29433045766211</v>
      </c>
      <c r="AG287" s="546">
        <f t="shared" si="435"/>
        <v>2.8524639175257726E-2</v>
      </c>
      <c r="AI287" s="179">
        <f t="shared" si="436"/>
        <v>0.47985876848294606</v>
      </c>
      <c r="AJ287" s="179">
        <f t="shared" si="437"/>
        <v>0.47985876848294606</v>
      </c>
      <c r="AK287" s="179">
        <f t="shared" si="438"/>
        <v>1.3406361248021823</v>
      </c>
      <c r="AM287" s="563">
        <f t="shared" si="439"/>
        <v>78.100000000000009</v>
      </c>
      <c r="AN287" s="472">
        <f t="shared" si="440"/>
        <v>350</v>
      </c>
      <c r="AP287">
        <f t="shared" si="441"/>
        <v>78.100000000000009</v>
      </c>
      <c r="AQ287">
        <f t="shared" si="442"/>
        <v>350</v>
      </c>
      <c r="AS287" s="6">
        <f t="shared" si="414"/>
        <v>2.8571428571428572</v>
      </c>
      <c r="AT287" s="6">
        <f t="shared" si="443"/>
        <v>1.5035574745798976</v>
      </c>
      <c r="AU287" s="6">
        <f t="shared" si="380"/>
        <v>1.3535853825629596</v>
      </c>
      <c r="AV287" s="6"/>
      <c r="AW287" s="179">
        <f t="shared" si="381"/>
        <v>0.52624511610296421</v>
      </c>
      <c r="AX287" s="179"/>
      <c r="CD287" s="581">
        <f t="shared" si="444"/>
        <v>-50</v>
      </c>
      <c r="CE287">
        <f t="shared" si="445"/>
        <v>-50</v>
      </c>
    </row>
    <row r="288" spans="5:83" x14ac:dyDescent="0.2">
      <c r="E288" s="176">
        <v>72</v>
      </c>
      <c r="F288" s="223">
        <f t="shared" si="446"/>
        <v>7.9199999999999993E-2</v>
      </c>
      <c r="G288" s="223"/>
      <c r="H288" s="223">
        <f t="shared" si="416"/>
        <v>1.9007999999999998</v>
      </c>
      <c r="I288" s="559">
        <f t="shared" si="417"/>
        <v>15</v>
      </c>
      <c r="J288" s="454">
        <f t="shared" si="418"/>
        <v>24.25</v>
      </c>
      <c r="K288" s="454">
        <f t="shared" si="419"/>
        <v>39.25</v>
      </c>
      <c r="L288" s="454"/>
      <c r="M288" s="223">
        <f t="shared" si="420"/>
        <v>0.61783439490445857</v>
      </c>
      <c r="N288" s="178">
        <f t="shared" si="421"/>
        <v>6.3830015923566883</v>
      </c>
      <c r="O288" s="178">
        <f t="shared" si="413"/>
        <v>1.9007999999999998</v>
      </c>
      <c r="P288" s="223">
        <f t="shared" si="422"/>
        <v>0.26595839968152868</v>
      </c>
      <c r="Q288" s="223">
        <f t="shared" si="423"/>
        <v>24</v>
      </c>
      <c r="R288" s="223"/>
      <c r="S288" s="178">
        <f t="shared" si="424"/>
        <v>115.47747947030815</v>
      </c>
      <c r="T288" s="178">
        <f t="shared" si="425"/>
        <v>24</v>
      </c>
      <c r="U288" s="223">
        <f t="shared" si="426"/>
        <v>0.4317968529571351</v>
      </c>
      <c r="V288" s="223">
        <f t="shared" si="427"/>
        <v>1.3529634725990232</v>
      </c>
      <c r="W288" s="223">
        <f t="shared" si="428"/>
        <v>0.83688462222620008</v>
      </c>
      <c r="X288" s="203">
        <f t="shared" si="429"/>
        <v>350</v>
      </c>
      <c r="Y288" s="454">
        <f t="shared" si="415"/>
        <v>350</v>
      </c>
      <c r="AA288" s="223">
        <f t="shared" si="430"/>
        <v>0.56337482818035733</v>
      </c>
      <c r="AB288" s="179">
        <f t="shared" si="431"/>
        <v>1.0919017288444037</v>
      </c>
      <c r="AC288" s="179">
        <f t="shared" si="432"/>
        <v>0.10765124105357142</v>
      </c>
      <c r="AD288" s="179"/>
      <c r="AE288" s="179">
        <f t="shared" si="433"/>
        <v>0.56206185567010303</v>
      </c>
      <c r="AF288" s="563">
        <f t="shared" si="434"/>
        <v>971.7914337035445</v>
      </c>
      <c r="AG288" s="546">
        <f t="shared" si="435"/>
        <v>2.8524639175257726E-2</v>
      </c>
      <c r="AI288" s="179">
        <f t="shared" si="436"/>
        <v>0.48322623975131412</v>
      </c>
      <c r="AJ288" s="179">
        <f t="shared" si="437"/>
        <v>0.48322623975131412</v>
      </c>
      <c r="AK288" s="179">
        <f t="shared" si="438"/>
        <v>1.3431305479639364</v>
      </c>
      <c r="AM288" s="563">
        <f t="shared" si="439"/>
        <v>79.199999999999989</v>
      </c>
      <c r="AN288" s="472">
        <f t="shared" si="440"/>
        <v>350</v>
      </c>
      <c r="AP288">
        <f t="shared" si="441"/>
        <v>79.199999999999989</v>
      </c>
      <c r="AQ288">
        <f t="shared" si="442"/>
        <v>350</v>
      </c>
      <c r="AS288" s="6">
        <f t="shared" si="414"/>
        <v>2.8571428571428572</v>
      </c>
      <c r="AT288" s="6">
        <f t="shared" si="443"/>
        <v>1.5141088845541173</v>
      </c>
      <c r="AU288" s="6">
        <f t="shared" si="380"/>
        <v>1.3430339725887399</v>
      </c>
      <c r="AV288" s="6"/>
      <c r="AW288" s="179">
        <f t="shared" si="381"/>
        <v>0.52993810959394105</v>
      </c>
      <c r="AX288" s="179"/>
      <c r="CD288" s="581">
        <f t="shared" si="444"/>
        <v>-50</v>
      </c>
      <c r="CE288">
        <f t="shared" si="445"/>
        <v>-50</v>
      </c>
    </row>
    <row r="289" spans="5:83" x14ac:dyDescent="0.2">
      <c r="E289" s="176">
        <v>73</v>
      </c>
      <c r="F289" s="223">
        <f t="shared" si="446"/>
        <v>8.0299999999999996E-2</v>
      </c>
      <c r="G289" s="223"/>
      <c r="H289" s="223">
        <f t="shared" si="416"/>
        <v>1.9272</v>
      </c>
      <c r="I289" s="559">
        <f t="shared" si="417"/>
        <v>15</v>
      </c>
      <c r="J289" s="454">
        <f t="shared" si="418"/>
        <v>24.25</v>
      </c>
      <c r="K289" s="454">
        <f t="shared" si="419"/>
        <v>39.25</v>
      </c>
      <c r="L289" s="454"/>
      <c r="M289" s="223">
        <f t="shared" si="420"/>
        <v>0.61783439490445857</v>
      </c>
      <c r="N289" s="178">
        <f t="shared" si="421"/>
        <v>6.3830015923566883</v>
      </c>
      <c r="O289" s="178">
        <f t="shared" si="413"/>
        <v>1.9272</v>
      </c>
      <c r="P289" s="223">
        <f t="shared" si="422"/>
        <v>0.26595839968152868</v>
      </c>
      <c r="Q289" s="223">
        <f t="shared" si="423"/>
        <v>24</v>
      </c>
      <c r="R289" s="223"/>
      <c r="S289" s="178">
        <f t="shared" si="424"/>
        <v>113.69106866187528</v>
      </c>
      <c r="T289" s="178">
        <f t="shared" si="425"/>
        <v>24</v>
      </c>
      <c r="U289" s="223">
        <f t="shared" si="426"/>
        <v>0.43779403147042872</v>
      </c>
      <c r="V289" s="223">
        <f t="shared" si="427"/>
        <v>1.3717546319406766</v>
      </c>
      <c r="W289" s="223">
        <f t="shared" si="428"/>
        <v>0.84850801975711954</v>
      </c>
      <c r="X289" s="203">
        <f t="shared" si="429"/>
        <v>350</v>
      </c>
      <c r="Y289" s="454">
        <f t="shared" si="415"/>
        <v>350</v>
      </c>
      <c r="AA289" s="223">
        <f t="shared" si="430"/>
        <v>0.56337482818035733</v>
      </c>
      <c r="AB289" s="179">
        <f t="shared" si="431"/>
        <v>1.0919017288444037</v>
      </c>
      <c r="AC289" s="179">
        <f t="shared" si="432"/>
        <v>0.10765124105357142</v>
      </c>
      <c r="AD289" s="179"/>
      <c r="AE289" s="179">
        <f t="shared" si="433"/>
        <v>0.56206185567010303</v>
      </c>
      <c r="AF289" s="563">
        <f t="shared" si="434"/>
        <v>985.28853694942711</v>
      </c>
      <c r="AG289" s="546">
        <f t="shared" si="435"/>
        <v>2.8524639175257726E-2</v>
      </c>
      <c r="AI289" s="179">
        <f t="shared" si="436"/>
        <v>0.48657040588019684</v>
      </c>
      <c r="AJ289" s="179">
        <f t="shared" si="437"/>
        <v>0.48657040588019684</v>
      </c>
      <c r="AK289" s="179">
        <f t="shared" si="438"/>
        <v>1.3456077080594051</v>
      </c>
      <c r="AM289" s="563">
        <f t="shared" si="439"/>
        <v>80.3</v>
      </c>
      <c r="AN289" s="472">
        <f t="shared" si="440"/>
        <v>350</v>
      </c>
      <c r="AP289">
        <f t="shared" si="441"/>
        <v>80.3</v>
      </c>
      <c r="AQ289">
        <f t="shared" si="442"/>
        <v>350</v>
      </c>
      <c r="AS289" s="6">
        <f t="shared" si="414"/>
        <v>2.8571428571428572</v>
      </c>
      <c r="AT289" s="6">
        <f t="shared" si="443"/>
        <v>1.5245872717579501</v>
      </c>
      <c r="AU289" s="6">
        <f t="shared" si="380"/>
        <v>1.3325555853849071</v>
      </c>
      <c r="AV289" s="6"/>
      <c r="AW289" s="179">
        <f t="shared" si="381"/>
        <v>0.53360554511528246</v>
      </c>
      <c r="AX289" s="179"/>
      <c r="CD289" s="581">
        <f t="shared" si="444"/>
        <v>-50</v>
      </c>
      <c r="CE289">
        <f t="shared" si="445"/>
        <v>-50</v>
      </c>
    </row>
    <row r="290" spans="5:83" x14ac:dyDescent="0.2">
      <c r="E290" s="176">
        <v>74</v>
      </c>
      <c r="F290" s="223">
        <f t="shared" si="446"/>
        <v>8.14E-2</v>
      </c>
      <c r="G290" s="223"/>
      <c r="H290" s="223">
        <f t="shared" si="416"/>
        <v>1.9536</v>
      </c>
      <c r="I290" s="559">
        <f t="shared" si="417"/>
        <v>15</v>
      </c>
      <c r="J290" s="454">
        <f t="shared" si="418"/>
        <v>24.25</v>
      </c>
      <c r="K290" s="454">
        <f t="shared" si="419"/>
        <v>39.25</v>
      </c>
      <c r="L290" s="454"/>
      <c r="M290" s="223">
        <f t="shared" si="420"/>
        <v>0.61783439490445857</v>
      </c>
      <c r="N290" s="178">
        <f t="shared" si="421"/>
        <v>6.3830015923566883</v>
      </c>
      <c r="O290" s="178">
        <f t="shared" si="413"/>
        <v>1.9536</v>
      </c>
      <c r="P290" s="223">
        <f t="shared" si="422"/>
        <v>0.26595839968152868</v>
      </c>
      <c r="Q290" s="223">
        <f t="shared" si="423"/>
        <v>24</v>
      </c>
      <c r="R290" s="223"/>
      <c r="S290" s="178">
        <f t="shared" si="424"/>
        <v>111.95295474928012</v>
      </c>
      <c r="T290" s="178">
        <f t="shared" si="425"/>
        <v>24</v>
      </c>
      <c r="U290" s="223">
        <f t="shared" si="426"/>
        <v>0.44379120998372223</v>
      </c>
      <c r="V290" s="223">
        <f t="shared" si="427"/>
        <v>1.3905457912823296</v>
      </c>
      <c r="W290" s="223">
        <f t="shared" si="428"/>
        <v>0.86013141728803888</v>
      </c>
      <c r="X290" s="203">
        <f t="shared" si="429"/>
        <v>350</v>
      </c>
      <c r="Y290" s="454">
        <f t="shared" si="415"/>
        <v>350</v>
      </c>
      <c r="AA290" s="223">
        <f t="shared" si="430"/>
        <v>0.56337482818035733</v>
      </c>
      <c r="AB290" s="179">
        <f t="shared" si="431"/>
        <v>1.0919017288444037</v>
      </c>
      <c r="AC290" s="179">
        <f t="shared" si="432"/>
        <v>0.10765124105357142</v>
      </c>
      <c r="AD290" s="179"/>
      <c r="AE290" s="179">
        <f t="shared" si="433"/>
        <v>0.56206185567010303</v>
      </c>
      <c r="AF290" s="563">
        <f t="shared" si="434"/>
        <v>998.78564019530972</v>
      </c>
      <c r="AG290" s="546">
        <f t="shared" si="435"/>
        <v>2.8524639175257726E-2</v>
      </c>
      <c r="AI290" s="179">
        <f t="shared" si="436"/>
        <v>0.48989174413603298</v>
      </c>
      <c r="AJ290" s="179">
        <f t="shared" si="437"/>
        <v>0.48989174413603298</v>
      </c>
      <c r="AK290" s="179">
        <f t="shared" si="438"/>
        <v>1.3480679586192836</v>
      </c>
      <c r="AM290" s="563">
        <f t="shared" si="439"/>
        <v>81.400000000000006</v>
      </c>
      <c r="AN290" s="472">
        <f t="shared" si="440"/>
        <v>350</v>
      </c>
      <c r="AP290">
        <f t="shared" si="441"/>
        <v>81.400000000000006</v>
      </c>
      <c r="AQ290">
        <f t="shared" si="442"/>
        <v>350</v>
      </c>
      <c r="AS290" s="6">
        <f t="shared" si="414"/>
        <v>2.8571428571428572</v>
      </c>
      <c r="AT290" s="6">
        <f t="shared" si="443"/>
        <v>1.5349941316262368</v>
      </c>
      <c r="AU290" s="6">
        <f t="shared" si="380"/>
        <v>1.3221487255166204</v>
      </c>
      <c r="AV290" s="6"/>
      <c r="AW290" s="179">
        <f t="shared" si="381"/>
        <v>0.5372479460691828</v>
      </c>
      <c r="AX290" s="179"/>
      <c r="CD290" s="581">
        <f t="shared" si="444"/>
        <v>-50</v>
      </c>
      <c r="CE290">
        <f t="shared" si="445"/>
        <v>-50</v>
      </c>
    </row>
    <row r="291" spans="5:83" x14ac:dyDescent="0.2">
      <c r="E291" s="176">
        <v>75</v>
      </c>
      <c r="F291" s="223">
        <f t="shared" si="446"/>
        <v>8.2500000000000004E-2</v>
      </c>
      <c r="G291" s="223"/>
      <c r="H291" s="223">
        <f t="shared" si="416"/>
        <v>1.98</v>
      </c>
      <c r="I291" s="559">
        <f t="shared" si="417"/>
        <v>15</v>
      </c>
      <c r="J291" s="454">
        <f t="shared" si="418"/>
        <v>24.25</v>
      </c>
      <c r="K291" s="454">
        <f t="shared" si="419"/>
        <v>39.25</v>
      </c>
      <c r="L291" s="454"/>
      <c r="M291" s="223">
        <f t="shared" si="420"/>
        <v>0.61783439490445857</v>
      </c>
      <c r="N291" s="178">
        <f t="shared" si="421"/>
        <v>6.3830015923566883</v>
      </c>
      <c r="O291" s="178">
        <f t="shared" si="413"/>
        <v>1.98</v>
      </c>
      <c r="P291" s="223">
        <f t="shared" si="422"/>
        <v>0.26595839968152868</v>
      </c>
      <c r="Q291" s="223">
        <f t="shared" si="423"/>
        <v>24</v>
      </c>
      <c r="R291" s="223"/>
      <c r="S291" s="178">
        <f t="shared" si="424"/>
        <v>110.26120593764884</v>
      </c>
      <c r="T291" s="178">
        <f t="shared" si="425"/>
        <v>24</v>
      </c>
      <c r="U291" s="223">
        <f t="shared" si="426"/>
        <v>0.4497883884970158</v>
      </c>
      <c r="V291" s="223">
        <f t="shared" si="427"/>
        <v>1.409336950623983</v>
      </c>
      <c r="W291" s="223">
        <f t="shared" si="428"/>
        <v>0.87175481481895845</v>
      </c>
      <c r="X291" s="203">
        <f t="shared" si="429"/>
        <v>350</v>
      </c>
      <c r="Y291" s="454">
        <f t="shared" si="415"/>
        <v>350</v>
      </c>
      <c r="AA291" s="223">
        <f t="shared" si="430"/>
        <v>0.56337482818035733</v>
      </c>
      <c r="AB291" s="179">
        <f t="shared" si="431"/>
        <v>1.0919017288444037</v>
      </c>
      <c r="AC291" s="179">
        <f t="shared" si="432"/>
        <v>0.10765124105357142</v>
      </c>
      <c r="AD291" s="179"/>
      <c r="AE291" s="179">
        <f t="shared" si="433"/>
        <v>0.56206185567010303</v>
      </c>
      <c r="AF291" s="563">
        <f t="shared" si="434"/>
        <v>1012.2827434411923</v>
      </c>
      <c r="AG291" s="546">
        <f t="shared" si="435"/>
        <v>2.8524639175257726E-2</v>
      </c>
      <c r="AI291" s="179">
        <f t="shared" si="436"/>
        <v>0.49319071571438705</v>
      </c>
      <c r="AJ291" s="179">
        <f t="shared" si="437"/>
        <v>0.49319071571438705</v>
      </c>
      <c r="AK291" s="179">
        <f t="shared" si="438"/>
        <v>1.3505116412699163</v>
      </c>
      <c r="AM291" s="563">
        <f t="shared" si="439"/>
        <v>82.5</v>
      </c>
      <c r="AN291" s="472">
        <f t="shared" si="440"/>
        <v>350</v>
      </c>
      <c r="AP291">
        <f t="shared" si="441"/>
        <v>82.5</v>
      </c>
      <c r="AQ291">
        <f t="shared" si="442"/>
        <v>350</v>
      </c>
      <c r="AS291" s="6">
        <f t="shared" si="414"/>
        <v>2.8571428571428572</v>
      </c>
      <c r="AT291" s="6">
        <f t="shared" si="443"/>
        <v>1.5453309092384127</v>
      </c>
      <c r="AU291" s="6">
        <f t="shared" si="380"/>
        <v>1.3118119479044446</v>
      </c>
      <c r="AV291" s="6"/>
      <c r="AW291" s="179">
        <f t="shared" si="381"/>
        <v>0.54086581823344437</v>
      </c>
      <c r="AX291" s="179"/>
      <c r="CD291" s="581">
        <f t="shared" si="444"/>
        <v>-50</v>
      </c>
      <c r="CE291">
        <f t="shared" si="445"/>
        <v>-50</v>
      </c>
    </row>
    <row r="292" spans="5:83" x14ac:dyDescent="0.2">
      <c r="E292" s="176">
        <v>76</v>
      </c>
      <c r="F292" s="223">
        <f t="shared" si="446"/>
        <v>8.3600000000000008E-2</v>
      </c>
      <c r="G292" s="223"/>
      <c r="H292" s="223">
        <f t="shared" si="416"/>
        <v>2.0064000000000002</v>
      </c>
      <c r="I292" s="559">
        <f t="shared" si="417"/>
        <v>15</v>
      </c>
      <c r="J292" s="454">
        <f t="shared" si="418"/>
        <v>24.25</v>
      </c>
      <c r="K292" s="454">
        <f t="shared" si="419"/>
        <v>39.25</v>
      </c>
      <c r="L292" s="454"/>
      <c r="M292" s="223">
        <f t="shared" si="420"/>
        <v>0.61783439490445857</v>
      </c>
      <c r="N292" s="178">
        <f t="shared" si="421"/>
        <v>6.3830015923566883</v>
      </c>
      <c r="O292" s="178">
        <f t="shared" si="413"/>
        <v>2.0064000000000002</v>
      </c>
      <c r="P292" s="223">
        <f t="shared" si="422"/>
        <v>0.26595839968152868</v>
      </c>
      <c r="Q292" s="223">
        <f t="shared" si="423"/>
        <v>24</v>
      </c>
      <c r="R292" s="223"/>
      <c r="S292" s="178">
        <f t="shared" si="424"/>
        <v>108.61399210607321</v>
      </c>
      <c r="T292" s="178">
        <f t="shared" si="425"/>
        <v>24</v>
      </c>
      <c r="U292" s="223">
        <f t="shared" si="426"/>
        <v>0.45578556701030937</v>
      </c>
      <c r="V292" s="223">
        <f t="shared" si="427"/>
        <v>1.428128109965636</v>
      </c>
      <c r="W292" s="223">
        <f t="shared" si="428"/>
        <v>0.8833782123498779</v>
      </c>
      <c r="X292" s="203">
        <f t="shared" si="429"/>
        <v>350</v>
      </c>
      <c r="Y292" s="454">
        <f t="shared" si="415"/>
        <v>350</v>
      </c>
      <c r="AA292" s="223">
        <f t="shared" si="430"/>
        <v>0.56337482818035733</v>
      </c>
      <c r="AB292" s="179">
        <f t="shared" si="431"/>
        <v>1.0919017288444037</v>
      </c>
      <c r="AC292" s="179">
        <f t="shared" si="432"/>
        <v>0.10765124105357142</v>
      </c>
      <c r="AD292" s="179"/>
      <c r="AE292" s="179">
        <f t="shared" si="433"/>
        <v>0.56206185567010303</v>
      </c>
      <c r="AF292" s="563">
        <f t="shared" si="434"/>
        <v>1025.779846687075</v>
      </c>
      <c r="AG292" s="546">
        <f t="shared" si="435"/>
        <v>2.8524639175257726E-2</v>
      </c>
      <c r="AI292" s="179">
        <f t="shared" si="436"/>
        <v>0.49646776648750751</v>
      </c>
      <c r="AJ292" s="179">
        <f t="shared" si="437"/>
        <v>0.49646776648750751</v>
      </c>
      <c r="AK292" s="179">
        <f t="shared" si="438"/>
        <v>1.3529390862870425</v>
      </c>
      <c r="AM292" s="563">
        <f t="shared" si="439"/>
        <v>83.600000000000009</v>
      </c>
      <c r="AN292" s="472">
        <f t="shared" si="440"/>
        <v>350</v>
      </c>
      <c r="AP292">
        <f t="shared" si="441"/>
        <v>83.600000000000009</v>
      </c>
      <c r="AQ292">
        <f t="shared" si="442"/>
        <v>350</v>
      </c>
      <c r="AS292" s="6">
        <f t="shared" si="414"/>
        <v>2.8571428571428572</v>
      </c>
      <c r="AT292" s="6">
        <f t="shared" si="443"/>
        <v>1.5555990016608567</v>
      </c>
      <c r="AU292" s="6">
        <f t="shared" si="380"/>
        <v>1.3015438554820005</v>
      </c>
      <c r="AV292" s="6"/>
      <c r="AW292" s="179">
        <f t="shared" si="381"/>
        <v>0.54445965058129986</v>
      </c>
      <c r="AX292" s="179"/>
      <c r="CD292" s="581">
        <f t="shared" si="444"/>
        <v>-50</v>
      </c>
      <c r="CE292">
        <f t="shared" si="445"/>
        <v>-50</v>
      </c>
    </row>
    <row r="293" spans="5:83" x14ac:dyDescent="0.2">
      <c r="E293" s="176">
        <v>77</v>
      </c>
      <c r="F293" s="223">
        <f t="shared" si="446"/>
        <v>8.4699999999999998E-2</v>
      </c>
      <c r="G293" s="223"/>
      <c r="H293" s="223">
        <f t="shared" si="416"/>
        <v>2.0327999999999999</v>
      </c>
      <c r="I293" s="559">
        <f t="shared" si="417"/>
        <v>15</v>
      </c>
      <c r="J293" s="454">
        <f t="shared" si="418"/>
        <v>24.25</v>
      </c>
      <c r="K293" s="454">
        <f t="shared" si="419"/>
        <v>39.25</v>
      </c>
      <c r="L293" s="454"/>
      <c r="M293" s="223">
        <f t="shared" si="420"/>
        <v>0.61783439490445857</v>
      </c>
      <c r="N293" s="178">
        <f t="shared" si="421"/>
        <v>6.3830015923566883</v>
      </c>
      <c r="O293" s="178">
        <f t="shared" si="413"/>
        <v>2.0327999999999999</v>
      </c>
      <c r="P293" s="223">
        <f t="shared" si="422"/>
        <v>0.26595839968152868</v>
      </c>
      <c r="Q293" s="223">
        <f t="shared" si="423"/>
        <v>24</v>
      </c>
      <c r="R293" s="223"/>
      <c r="S293" s="178">
        <f t="shared" si="424"/>
        <v>107.00957820540995</v>
      </c>
      <c r="T293" s="178">
        <f t="shared" si="425"/>
        <v>24</v>
      </c>
      <c r="U293" s="223">
        <f t="shared" si="426"/>
        <v>0.46178274552360288</v>
      </c>
      <c r="V293" s="223">
        <f t="shared" si="427"/>
        <v>1.446919269307289</v>
      </c>
      <c r="W293" s="223">
        <f t="shared" si="428"/>
        <v>0.89500160988079724</v>
      </c>
      <c r="X293" s="203">
        <f t="shared" si="429"/>
        <v>350</v>
      </c>
      <c r="Y293" s="454">
        <f t="shared" si="415"/>
        <v>350</v>
      </c>
      <c r="AA293" s="223">
        <f t="shared" si="430"/>
        <v>0.56337482818035733</v>
      </c>
      <c r="AB293" s="179">
        <f t="shared" si="431"/>
        <v>1.0919017288444037</v>
      </c>
      <c r="AC293" s="179">
        <f t="shared" si="432"/>
        <v>0.10765124105357142</v>
      </c>
      <c r="AD293" s="179"/>
      <c r="AE293" s="179">
        <f t="shared" si="433"/>
        <v>0.56206185567010303</v>
      </c>
      <c r="AF293" s="563">
        <f t="shared" si="434"/>
        <v>1039.2769499329575</v>
      </c>
      <c r="AG293" s="546">
        <f t="shared" si="435"/>
        <v>2.8524639175257726E-2</v>
      </c>
      <c r="AI293" s="179">
        <f t="shared" si="436"/>
        <v>0.4997233277077619</v>
      </c>
      <c r="AJ293" s="179">
        <f t="shared" si="437"/>
        <v>0.4997233277077619</v>
      </c>
      <c r="AK293" s="179">
        <f t="shared" si="438"/>
        <v>1.3553506131168607</v>
      </c>
      <c r="AM293" s="563">
        <f t="shared" si="439"/>
        <v>84.7</v>
      </c>
      <c r="AN293" s="472">
        <f t="shared" si="440"/>
        <v>350</v>
      </c>
      <c r="AP293">
        <f t="shared" si="441"/>
        <v>84.7</v>
      </c>
      <c r="AQ293">
        <f t="shared" si="442"/>
        <v>350</v>
      </c>
      <c r="AS293" s="6">
        <f t="shared" si="414"/>
        <v>2.8571428571428572</v>
      </c>
      <c r="AT293" s="6">
        <f t="shared" si="443"/>
        <v>1.5657997601509872</v>
      </c>
      <c r="AU293" s="6">
        <f t="shared" si="380"/>
        <v>1.29134309699187</v>
      </c>
      <c r="AV293" s="6"/>
      <c r="AW293" s="179">
        <f t="shared" si="381"/>
        <v>0.54802991605284546</v>
      </c>
      <c r="AX293" s="179"/>
      <c r="CD293" s="581">
        <f t="shared" si="444"/>
        <v>-50</v>
      </c>
      <c r="CE293">
        <f t="shared" si="445"/>
        <v>-50</v>
      </c>
    </row>
    <row r="294" spans="5:83" x14ac:dyDescent="0.2">
      <c r="E294" s="176">
        <v>78</v>
      </c>
      <c r="F294" s="223">
        <f t="shared" si="446"/>
        <v>8.5800000000000001E-2</v>
      </c>
      <c r="G294" s="223"/>
      <c r="H294" s="223">
        <f t="shared" si="416"/>
        <v>2.0592000000000001</v>
      </c>
      <c r="I294" s="559">
        <f t="shared" si="417"/>
        <v>15</v>
      </c>
      <c r="J294" s="454">
        <f t="shared" si="418"/>
        <v>24.25</v>
      </c>
      <c r="K294" s="454">
        <f t="shared" si="419"/>
        <v>39.25</v>
      </c>
      <c r="L294" s="454"/>
      <c r="M294" s="223">
        <f t="shared" si="420"/>
        <v>0.61783439490445857</v>
      </c>
      <c r="N294" s="178">
        <f t="shared" si="421"/>
        <v>6.3830015923566883</v>
      </c>
      <c r="O294" s="178">
        <f t="shared" si="413"/>
        <v>2.0592000000000001</v>
      </c>
      <c r="P294" s="223">
        <f t="shared" si="422"/>
        <v>0.26595839968152868</v>
      </c>
      <c r="Q294" s="223">
        <f t="shared" si="423"/>
        <v>24</v>
      </c>
      <c r="R294" s="223"/>
      <c r="S294" s="178">
        <f t="shared" si="424"/>
        <v>105.44631816394109</v>
      </c>
      <c r="T294" s="178">
        <f t="shared" si="425"/>
        <v>24</v>
      </c>
      <c r="U294" s="223">
        <f t="shared" si="426"/>
        <v>0.46777992403689644</v>
      </c>
      <c r="V294" s="223">
        <f t="shared" si="427"/>
        <v>1.4657104286489422</v>
      </c>
      <c r="W294" s="223">
        <f t="shared" si="428"/>
        <v>0.90662500741171681</v>
      </c>
      <c r="X294" s="203">
        <f t="shared" si="429"/>
        <v>350</v>
      </c>
      <c r="Y294" s="454">
        <f t="shared" si="415"/>
        <v>350</v>
      </c>
      <c r="AA294" s="223">
        <f t="shared" si="430"/>
        <v>0.56337482818035733</v>
      </c>
      <c r="AB294" s="179">
        <f t="shared" si="431"/>
        <v>1.0919017288444037</v>
      </c>
      <c r="AC294" s="179">
        <f t="shared" si="432"/>
        <v>0.10765124105357142</v>
      </c>
      <c r="AD294" s="179"/>
      <c r="AE294" s="179">
        <f t="shared" si="433"/>
        <v>0.56206185567010303</v>
      </c>
      <c r="AF294" s="563">
        <f t="shared" si="434"/>
        <v>1052.7740531788402</v>
      </c>
      <c r="AG294" s="546">
        <f t="shared" si="435"/>
        <v>2.8524639175257726E-2</v>
      </c>
      <c r="AI294" s="179">
        <f t="shared" si="436"/>
        <v>0.50295781667009021</v>
      </c>
      <c r="AJ294" s="179">
        <f t="shared" si="437"/>
        <v>0.50295781667009021</v>
      </c>
      <c r="AK294" s="179">
        <f t="shared" si="438"/>
        <v>1.3577465308667334</v>
      </c>
      <c r="AM294" s="563">
        <f t="shared" si="439"/>
        <v>85.8</v>
      </c>
      <c r="AN294" s="472">
        <f t="shared" si="440"/>
        <v>350</v>
      </c>
      <c r="AP294">
        <f t="shared" si="441"/>
        <v>85.8</v>
      </c>
      <c r="AQ294">
        <f t="shared" si="442"/>
        <v>350</v>
      </c>
      <c r="AS294" s="6">
        <f t="shared" si="414"/>
        <v>2.8571428571428572</v>
      </c>
      <c r="AT294" s="6">
        <f t="shared" si="443"/>
        <v>1.5759344922329492</v>
      </c>
      <c r="AU294" s="6">
        <f t="shared" si="380"/>
        <v>1.281208364909908</v>
      </c>
      <c r="AV294" s="6"/>
      <c r="AW294" s="179">
        <f t="shared" si="381"/>
        <v>0.55157707228153219</v>
      </c>
      <c r="AX294" s="179"/>
      <c r="CD294" s="581">
        <f t="shared" si="444"/>
        <v>-50</v>
      </c>
      <c r="CE294">
        <f t="shared" si="445"/>
        <v>-50</v>
      </c>
    </row>
    <row r="295" spans="5:83" x14ac:dyDescent="0.2">
      <c r="E295" s="176">
        <v>79</v>
      </c>
      <c r="F295" s="223">
        <f t="shared" si="446"/>
        <v>8.6900000000000005E-2</v>
      </c>
      <c r="G295" s="223"/>
      <c r="H295" s="223">
        <f t="shared" si="416"/>
        <v>2.0856000000000003</v>
      </c>
      <c r="I295" s="559">
        <f t="shared" si="417"/>
        <v>15</v>
      </c>
      <c r="J295" s="454">
        <f t="shared" si="418"/>
        <v>24.25</v>
      </c>
      <c r="K295" s="454">
        <f t="shared" si="419"/>
        <v>39.25</v>
      </c>
      <c r="L295" s="454"/>
      <c r="M295" s="223">
        <f t="shared" si="420"/>
        <v>0.61783439490445857</v>
      </c>
      <c r="N295" s="178">
        <f t="shared" si="421"/>
        <v>6.3830015923566883</v>
      </c>
      <c r="O295" s="178">
        <f t="shared" si="413"/>
        <v>2.0856000000000003</v>
      </c>
      <c r="P295" s="223">
        <f t="shared" si="422"/>
        <v>0.26595839968152868</v>
      </c>
      <c r="Q295" s="223">
        <f t="shared" si="423"/>
        <v>24</v>
      </c>
      <c r="R295" s="223"/>
      <c r="S295" s="178">
        <f t="shared" si="424"/>
        <v>103.92264925589606</v>
      </c>
      <c r="T295" s="178">
        <f t="shared" si="425"/>
        <v>24</v>
      </c>
      <c r="U295" s="223">
        <f t="shared" si="426"/>
        <v>0.47377710255019007</v>
      </c>
      <c r="V295" s="223">
        <f t="shared" si="427"/>
        <v>1.4845015879905954</v>
      </c>
      <c r="W295" s="223">
        <f t="shared" si="428"/>
        <v>0.91824840494263626</v>
      </c>
      <c r="X295" s="203">
        <f t="shared" si="429"/>
        <v>350</v>
      </c>
      <c r="Y295" s="454">
        <f t="shared" si="415"/>
        <v>350</v>
      </c>
      <c r="AA295" s="223">
        <f t="shared" si="430"/>
        <v>0.56337482818035733</v>
      </c>
      <c r="AB295" s="179">
        <f t="shared" si="431"/>
        <v>1.0919017288444037</v>
      </c>
      <c r="AC295" s="179">
        <f t="shared" si="432"/>
        <v>0.10765124105357142</v>
      </c>
      <c r="AD295" s="179"/>
      <c r="AE295" s="179">
        <f t="shared" si="433"/>
        <v>0.56206185567010303</v>
      </c>
      <c r="AF295" s="563">
        <f t="shared" si="434"/>
        <v>1066.2711564247227</v>
      </c>
      <c r="AG295" s="546">
        <f t="shared" si="435"/>
        <v>2.8524639175257726E-2</v>
      </c>
      <c r="AI295" s="179">
        <f t="shared" si="436"/>
        <v>0.5061716373363575</v>
      </c>
      <c r="AJ295" s="179">
        <f t="shared" si="437"/>
        <v>0.5061716373363575</v>
      </c>
      <c r="AK295" s="179">
        <f t="shared" si="438"/>
        <v>1.3601271387676723</v>
      </c>
      <c r="AM295" s="563">
        <f t="shared" si="439"/>
        <v>86.9</v>
      </c>
      <c r="AN295" s="472">
        <f t="shared" si="440"/>
        <v>350</v>
      </c>
      <c r="AP295">
        <f t="shared" si="441"/>
        <v>86.9</v>
      </c>
      <c r="AQ295">
        <f t="shared" si="442"/>
        <v>350</v>
      </c>
      <c r="AS295" s="6">
        <f t="shared" si="414"/>
        <v>2.8571428571428572</v>
      </c>
      <c r="AT295" s="6">
        <f t="shared" si="443"/>
        <v>1.5860044636539201</v>
      </c>
      <c r="AU295" s="6">
        <f t="shared" si="380"/>
        <v>1.2711383934889371</v>
      </c>
      <c r="AV295" s="6"/>
      <c r="AW295" s="179">
        <f t="shared" si="381"/>
        <v>0.55510156227887197</v>
      </c>
      <c r="AX295" s="179"/>
      <c r="CD295" s="581">
        <f t="shared" si="444"/>
        <v>-50</v>
      </c>
      <c r="CE295">
        <f t="shared" si="445"/>
        <v>-50</v>
      </c>
    </row>
    <row r="296" spans="5:83" x14ac:dyDescent="0.2">
      <c r="E296" s="176">
        <v>80</v>
      </c>
      <c r="F296" s="223">
        <f t="shared" si="446"/>
        <v>8.8000000000000009E-2</v>
      </c>
      <c r="G296" s="223"/>
      <c r="H296" s="223">
        <f t="shared" si="416"/>
        <v>2.1120000000000001</v>
      </c>
      <c r="I296" s="559">
        <f t="shared" si="417"/>
        <v>15</v>
      </c>
      <c r="J296" s="454">
        <f t="shared" si="418"/>
        <v>24.25</v>
      </c>
      <c r="K296" s="454">
        <f t="shared" si="419"/>
        <v>39.25</v>
      </c>
      <c r="L296" s="454"/>
      <c r="M296" s="223">
        <f t="shared" si="420"/>
        <v>0.61783439490445857</v>
      </c>
      <c r="N296" s="178">
        <f t="shared" si="421"/>
        <v>6.3830015923566883</v>
      </c>
      <c r="O296" s="178">
        <f t="shared" si="413"/>
        <v>2.1120000000000001</v>
      </c>
      <c r="P296" s="223">
        <f t="shared" si="422"/>
        <v>0.26595839968152868</v>
      </c>
      <c r="Q296" s="223">
        <f t="shared" si="423"/>
        <v>24</v>
      </c>
      <c r="R296" s="223"/>
      <c r="S296" s="178">
        <f t="shared" si="424"/>
        <v>102.43708689233462</v>
      </c>
      <c r="T296" s="178">
        <f t="shared" si="425"/>
        <v>24</v>
      </c>
      <c r="U296" s="223">
        <f t="shared" si="426"/>
        <v>0.47977428106348352</v>
      </c>
      <c r="V296" s="223">
        <f t="shared" si="427"/>
        <v>1.5032927473322482</v>
      </c>
      <c r="W296" s="223">
        <f t="shared" si="428"/>
        <v>0.92987180247355561</v>
      </c>
      <c r="X296" s="203">
        <f t="shared" si="429"/>
        <v>350</v>
      </c>
      <c r="Y296" s="454">
        <f t="shared" si="415"/>
        <v>350</v>
      </c>
      <c r="AA296" s="223">
        <f t="shared" si="430"/>
        <v>0.56337482818035733</v>
      </c>
      <c r="AB296" s="179">
        <f t="shared" si="431"/>
        <v>1.0919017288444037</v>
      </c>
      <c r="AC296" s="179">
        <f t="shared" si="432"/>
        <v>0.10765124105357142</v>
      </c>
      <c r="AD296" s="179"/>
      <c r="AE296" s="179">
        <f t="shared" si="433"/>
        <v>0.56206185567010303</v>
      </c>
      <c r="AF296" s="563">
        <f t="shared" si="434"/>
        <v>1079.7682596706052</v>
      </c>
      <c r="AG296" s="546">
        <f t="shared" si="435"/>
        <v>2.8524639175257726E-2</v>
      </c>
      <c r="AI296" s="179">
        <f t="shared" si="436"/>
        <v>0.50936518092425009</v>
      </c>
      <c r="AJ296" s="179">
        <f t="shared" si="437"/>
        <v>0.50936518092425009</v>
      </c>
      <c r="AK296" s="179">
        <f t="shared" si="438"/>
        <v>1.3624927266105555</v>
      </c>
      <c r="AM296" s="563">
        <f t="shared" si="439"/>
        <v>88.000000000000014</v>
      </c>
      <c r="AN296" s="472">
        <f t="shared" si="440"/>
        <v>350</v>
      </c>
      <c r="AP296">
        <f t="shared" si="441"/>
        <v>88.000000000000014</v>
      </c>
      <c r="AQ296">
        <f t="shared" si="442"/>
        <v>350</v>
      </c>
      <c r="AS296" s="6">
        <f t="shared" si="414"/>
        <v>2.8571428571428572</v>
      </c>
      <c r="AT296" s="6">
        <f t="shared" si="443"/>
        <v>1.5960109002293168</v>
      </c>
      <c r="AU296" s="6">
        <f t="shared" si="380"/>
        <v>1.2611319569135404</v>
      </c>
      <c r="AV296" s="6"/>
      <c r="AW296" s="179">
        <f t="shared" si="381"/>
        <v>0.55860381508026091</v>
      </c>
      <c r="AX296" s="179"/>
      <c r="CD296" s="581">
        <f t="shared" si="444"/>
        <v>-50</v>
      </c>
      <c r="CE296">
        <f t="shared" si="445"/>
        <v>-50</v>
      </c>
    </row>
    <row r="297" spans="5:83" x14ac:dyDescent="0.2">
      <c r="E297" s="176">
        <v>81</v>
      </c>
      <c r="F297" s="223">
        <f t="shared" si="446"/>
        <v>8.9100000000000013E-2</v>
      </c>
      <c r="G297" s="223"/>
      <c r="H297" s="223">
        <f t="shared" si="416"/>
        <v>2.1384000000000003</v>
      </c>
      <c r="I297" s="559">
        <f t="shared" si="417"/>
        <v>15</v>
      </c>
      <c r="J297" s="454">
        <f t="shared" si="418"/>
        <v>24.25</v>
      </c>
      <c r="K297" s="454">
        <f t="shared" si="419"/>
        <v>39.25</v>
      </c>
      <c r="L297" s="454"/>
      <c r="M297" s="223">
        <f t="shared" si="420"/>
        <v>0.61783439490445857</v>
      </c>
      <c r="N297" s="178">
        <f t="shared" si="421"/>
        <v>6.3830015923566883</v>
      </c>
      <c r="O297" s="178">
        <f t="shared" si="413"/>
        <v>2.1384000000000003</v>
      </c>
      <c r="P297" s="223">
        <f t="shared" si="422"/>
        <v>0.26595839968152868</v>
      </c>
      <c r="Q297" s="223">
        <f t="shared" si="423"/>
        <v>24</v>
      </c>
      <c r="R297" s="223"/>
      <c r="S297" s="178">
        <f t="shared" si="424"/>
        <v>100.98821979789004</v>
      </c>
      <c r="T297" s="178">
        <f t="shared" si="425"/>
        <v>24</v>
      </c>
      <c r="U297" s="223">
        <f t="shared" si="426"/>
        <v>0.48577145957677714</v>
      </c>
      <c r="V297" s="223">
        <f t="shared" si="427"/>
        <v>1.5220839066739016</v>
      </c>
      <c r="W297" s="223">
        <f t="shared" si="428"/>
        <v>0.94149520000447517</v>
      </c>
      <c r="X297" s="203">
        <f t="shared" si="429"/>
        <v>350</v>
      </c>
      <c r="Y297" s="454">
        <f t="shared" si="415"/>
        <v>350</v>
      </c>
      <c r="AA297" s="223">
        <f t="shared" si="430"/>
        <v>0.56337482818035733</v>
      </c>
      <c r="AB297" s="179">
        <f t="shared" si="431"/>
        <v>1.0919017288444037</v>
      </c>
      <c r="AC297" s="179">
        <f t="shared" si="432"/>
        <v>0.10765124105357142</v>
      </c>
      <c r="AD297" s="179"/>
      <c r="AE297" s="179">
        <f t="shared" si="433"/>
        <v>0.56206185567010303</v>
      </c>
      <c r="AF297" s="563">
        <f t="shared" si="434"/>
        <v>1093.2653629164877</v>
      </c>
      <c r="AG297" s="546">
        <f t="shared" si="435"/>
        <v>2.8524639175257726E-2</v>
      </c>
      <c r="AI297" s="179">
        <f t="shared" si="436"/>
        <v>0.51253882646314597</v>
      </c>
      <c r="AJ297" s="179">
        <f t="shared" si="437"/>
        <v>0.51253882646314597</v>
      </c>
      <c r="AK297" s="179">
        <f t="shared" si="438"/>
        <v>1.3648435751578858</v>
      </c>
      <c r="AM297" s="563">
        <f t="shared" si="439"/>
        <v>89.100000000000009</v>
      </c>
      <c r="AN297" s="472">
        <f t="shared" si="440"/>
        <v>350</v>
      </c>
      <c r="AP297">
        <f t="shared" si="441"/>
        <v>89.100000000000009</v>
      </c>
      <c r="AQ297">
        <f t="shared" si="442"/>
        <v>350</v>
      </c>
      <c r="AS297" s="6">
        <f t="shared" si="414"/>
        <v>2.8571428571428572</v>
      </c>
      <c r="AT297" s="6">
        <f t="shared" si="443"/>
        <v>1.605954989584524</v>
      </c>
      <c r="AU297" s="6">
        <f t="shared" si="380"/>
        <v>1.2511878675583332</v>
      </c>
      <c r="AV297" s="6"/>
      <c r="AW297" s="179">
        <f t="shared" si="381"/>
        <v>0.56208424635458343</v>
      </c>
      <c r="AX297" s="179"/>
      <c r="CD297" s="581">
        <f t="shared" si="444"/>
        <v>-50</v>
      </c>
      <c r="CE297">
        <f t="shared" si="445"/>
        <v>-50</v>
      </c>
    </row>
    <row r="298" spans="5:83" x14ac:dyDescent="0.2">
      <c r="E298" s="176">
        <v>82</v>
      </c>
      <c r="F298" s="223">
        <f t="shared" si="446"/>
        <v>9.0199999999999989E-2</v>
      </c>
      <c r="G298" s="223"/>
      <c r="H298" s="223">
        <f t="shared" si="416"/>
        <v>2.1647999999999996</v>
      </c>
      <c r="I298" s="559">
        <f t="shared" si="417"/>
        <v>15</v>
      </c>
      <c r="J298" s="454">
        <f t="shared" si="418"/>
        <v>24.25</v>
      </c>
      <c r="K298" s="454">
        <f t="shared" si="419"/>
        <v>39.25</v>
      </c>
      <c r="L298" s="454"/>
      <c r="M298" s="223">
        <f t="shared" si="420"/>
        <v>0.61783439490445857</v>
      </c>
      <c r="N298" s="178">
        <f t="shared" si="421"/>
        <v>6.3830015923566883</v>
      </c>
      <c r="O298" s="178">
        <f t="shared" si="413"/>
        <v>2.1647999999999996</v>
      </c>
      <c r="P298" s="223">
        <f t="shared" si="422"/>
        <v>0.26595839968152868</v>
      </c>
      <c r="Q298" s="223">
        <f t="shared" si="423"/>
        <v>24</v>
      </c>
      <c r="R298" s="223"/>
      <c r="S298" s="178">
        <f t="shared" si="424"/>
        <v>99.574705540433968</v>
      </c>
      <c r="T298" s="178">
        <f t="shared" si="425"/>
        <v>24</v>
      </c>
      <c r="U298" s="223">
        <f t="shared" si="426"/>
        <v>0.49176863809007054</v>
      </c>
      <c r="V298" s="223">
        <f t="shared" si="427"/>
        <v>1.5408750660155544</v>
      </c>
      <c r="W298" s="223">
        <f t="shared" si="428"/>
        <v>0.95311859753539441</v>
      </c>
      <c r="X298" s="203">
        <f t="shared" si="429"/>
        <v>350</v>
      </c>
      <c r="Y298" s="454">
        <f t="shared" si="415"/>
        <v>350</v>
      </c>
      <c r="AA298" s="223">
        <f t="shared" si="430"/>
        <v>0.56337482818035733</v>
      </c>
      <c r="AB298" s="179">
        <f t="shared" si="431"/>
        <v>1.0919017288444037</v>
      </c>
      <c r="AC298" s="179">
        <f t="shared" si="432"/>
        <v>0.10765124105357142</v>
      </c>
      <c r="AD298" s="179"/>
      <c r="AE298" s="179">
        <f t="shared" si="433"/>
        <v>0.56206185567010303</v>
      </c>
      <c r="AF298" s="563">
        <f t="shared" si="434"/>
        <v>1106.7624661623699</v>
      </c>
      <c r="AG298" s="546">
        <f t="shared" si="435"/>
        <v>2.8524639175257726E-2</v>
      </c>
      <c r="AI298" s="179">
        <f t="shared" si="436"/>
        <v>0.51569294131919596</v>
      </c>
      <c r="AJ298" s="179">
        <f t="shared" si="437"/>
        <v>0.51569294131919596</v>
      </c>
      <c r="AK298" s="179">
        <f t="shared" si="438"/>
        <v>1.3671799565327376</v>
      </c>
      <c r="AM298" s="563">
        <f t="shared" si="439"/>
        <v>90.199999999999989</v>
      </c>
      <c r="AN298" s="472">
        <f t="shared" si="440"/>
        <v>350</v>
      </c>
      <c r="AP298">
        <f t="shared" si="441"/>
        <v>90.199999999999989</v>
      </c>
      <c r="AQ298">
        <f t="shared" si="442"/>
        <v>350</v>
      </c>
      <c r="AS298" s="6">
        <f t="shared" si="414"/>
        <v>2.8571428571428572</v>
      </c>
      <c r="AT298" s="6">
        <f t="shared" si="443"/>
        <v>1.6158378828001472</v>
      </c>
      <c r="AU298" s="6">
        <f t="shared" ref="AU298:AU316" si="447">AS298-AT298</f>
        <v>1.24130497434271</v>
      </c>
      <c r="AV298" s="6"/>
      <c r="AW298" s="179">
        <f t="shared" ref="AW298:AW316" si="448">AT298/AS298</f>
        <v>0.56554325898005153</v>
      </c>
      <c r="AX298" s="179"/>
      <c r="CD298" s="581">
        <f t="shared" si="444"/>
        <v>-50</v>
      </c>
      <c r="CE298">
        <f t="shared" si="445"/>
        <v>-50</v>
      </c>
    </row>
    <row r="299" spans="5:83" x14ac:dyDescent="0.2">
      <c r="E299" s="176">
        <v>83</v>
      </c>
      <c r="F299" s="223">
        <f t="shared" si="446"/>
        <v>9.1299999999999992E-2</v>
      </c>
      <c r="G299" s="223"/>
      <c r="H299" s="223">
        <f t="shared" si="416"/>
        <v>2.1911999999999998</v>
      </c>
      <c r="I299" s="559">
        <f t="shared" si="417"/>
        <v>15</v>
      </c>
      <c r="J299" s="454">
        <f t="shared" si="418"/>
        <v>24.25</v>
      </c>
      <c r="K299" s="454">
        <f t="shared" si="419"/>
        <v>39.25</v>
      </c>
      <c r="L299" s="454"/>
      <c r="M299" s="223">
        <f t="shared" si="420"/>
        <v>0.61783439490445857</v>
      </c>
      <c r="N299" s="178">
        <f t="shared" si="421"/>
        <v>6.3830015923566883</v>
      </c>
      <c r="O299" s="178">
        <f t="shared" si="413"/>
        <v>2.1911999999999998</v>
      </c>
      <c r="P299" s="223">
        <f t="shared" si="422"/>
        <v>0.26595839968152868</v>
      </c>
      <c r="Q299" s="223">
        <f t="shared" si="423"/>
        <v>24</v>
      </c>
      <c r="R299" s="223"/>
      <c r="S299" s="178">
        <f t="shared" si="424"/>
        <v>98.195266383897717</v>
      </c>
      <c r="T299" s="178">
        <f t="shared" si="425"/>
        <v>24</v>
      </c>
      <c r="U299" s="223">
        <f t="shared" si="426"/>
        <v>0.49776581660336411</v>
      </c>
      <c r="V299" s="223">
        <f t="shared" si="427"/>
        <v>1.5596662253572073</v>
      </c>
      <c r="W299" s="223">
        <f t="shared" si="428"/>
        <v>0.96474199506631386</v>
      </c>
      <c r="X299" s="203">
        <f t="shared" si="429"/>
        <v>350</v>
      </c>
      <c r="Y299" s="454">
        <f t="shared" si="415"/>
        <v>350</v>
      </c>
      <c r="AA299" s="223">
        <f t="shared" si="430"/>
        <v>0.56337482818035733</v>
      </c>
      <c r="AB299" s="179">
        <f t="shared" si="431"/>
        <v>1.0919017288444037</v>
      </c>
      <c r="AC299" s="179">
        <f t="shared" si="432"/>
        <v>0.10765124105357142</v>
      </c>
      <c r="AD299" s="179"/>
      <c r="AE299" s="179">
        <f t="shared" si="433"/>
        <v>0.56206185567010303</v>
      </c>
      <c r="AF299" s="563">
        <f t="shared" si="434"/>
        <v>1120.2595694082529</v>
      </c>
      <c r="AG299" s="546">
        <f t="shared" si="435"/>
        <v>2.8524639175257726E-2</v>
      </c>
      <c r="AI299" s="179">
        <f t="shared" si="436"/>
        <v>0.51882788169167304</v>
      </c>
      <c r="AJ299" s="179">
        <f t="shared" si="437"/>
        <v>0.51882788169167304</v>
      </c>
      <c r="AK299" s="179">
        <f t="shared" si="438"/>
        <v>1.3695021345864244</v>
      </c>
      <c r="AM299" s="563">
        <f t="shared" si="439"/>
        <v>91.3</v>
      </c>
      <c r="AN299" s="472">
        <f t="shared" si="440"/>
        <v>350</v>
      </c>
      <c r="AP299">
        <f t="shared" si="441"/>
        <v>91.3</v>
      </c>
      <c r="AQ299">
        <f t="shared" si="442"/>
        <v>350</v>
      </c>
      <c r="AS299" s="6">
        <f t="shared" si="414"/>
        <v>2.8571428571428572</v>
      </c>
      <c r="AT299" s="6">
        <f t="shared" si="443"/>
        <v>1.6256606959672419</v>
      </c>
      <c r="AU299" s="6">
        <f t="shared" si="447"/>
        <v>1.2314821611756153</v>
      </c>
      <c r="AV299" s="6"/>
      <c r="AW299" s="179">
        <f t="shared" si="448"/>
        <v>0.56898124358853464</v>
      </c>
      <c r="AX299" s="179"/>
      <c r="CD299" s="581">
        <f t="shared" si="444"/>
        <v>-50</v>
      </c>
      <c r="CE299">
        <f t="shared" si="445"/>
        <v>-50</v>
      </c>
    </row>
    <row r="300" spans="5:83" x14ac:dyDescent="0.2">
      <c r="E300" s="176">
        <v>84</v>
      </c>
      <c r="F300" s="223">
        <f t="shared" si="446"/>
        <v>9.2399999999999996E-2</v>
      </c>
      <c r="G300" s="223"/>
      <c r="H300" s="223">
        <f t="shared" si="416"/>
        <v>2.2176</v>
      </c>
      <c r="I300" s="559">
        <f t="shared" si="417"/>
        <v>15</v>
      </c>
      <c r="J300" s="454">
        <f t="shared" si="418"/>
        <v>24.25</v>
      </c>
      <c r="K300" s="454">
        <f t="shared" si="419"/>
        <v>39.25</v>
      </c>
      <c r="L300" s="454"/>
      <c r="M300" s="223">
        <f t="shared" si="420"/>
        <v>0.61783439490445857</v>
      </c>
      <c r="N300" s="178">
        <f t="shared" si="421"/>
        <v>6.3830015923566883</v>
      </c>
      <c r="O300" s="178">
        <f t="shared" si="413"/>
        <v>2.2176</v>
      </c>
      <c r="P300" s="223">
        <f t="shared" si="422"/>
        <v>0.26595839968152868</v>
      </c>
      <c r="Q300" s="223">
        <f t="shared" si="423"/>
        <v>24</v>
      </c>
      <c r="R300" s="223"/>
      <c r="S300" s="178">
        <f t="shared" si="424"/>
        <v>96.848685437321066</v>
      </c>
      <c r="T300" s="178">
        <f t="shared" si="425"/>
        <v>24</v>
      </c>
      <c r="U300" s="223">
        <f t="shared" si="426"/>
        <v>0.50376299511665767</v>
      </c>
      <c r="V300" s="223">
        <f t="shared" si="427"/>
        <v>1.5784573846988605</v>
      </c>
      <c r="W300" s="223">
        <f t="shared" si="428"/>
        <v>0.97636539259723332</v>
      </c>
      <c r="X300" s="203">
        <f t="shared" si="429"/>
        <v>350</v>
      </c>
      <c r="Y300" s="454">
        <f t="shared" si="415"/>
        <v>350</v>
      </c>
      <c r="AA300" s="223">
        <f t="shared" si="430"/>
        <v>0.56337482818035733</v>
      </c>
      <c r="AB300" s="179">
        <f t="shared" si="431"/>
        <v>1.0919017288444037</v>
      </c>
      <c r="AC300" s="179">
        <f t="shared" si="432"/>
        <v>0.10765124105357142</v>
      </c>
      <c r="AD300" s="179"/>
      <c r="AE300" s="179">
        <f t="shared" si="433"/>
        <v>0.56206185567010303</v>
      </c>
      <c r="AF300" s="563">
        <f t="shared" si="434"/>
        <v>1133.7566726541354</v>
      </c>
      <c r="AG300" s="546">
        <f t="shared" si="435"/>
        <v>2.8524639175257726E-2</v>
      </c>
      <c r="AI300" s="179">
        <f t="shared" si="436"/>
        <v>0.52194399308248929</v>
      </c>
      <c r="AJ300" s="179">
        <f t="shared" si="437"/>
        <v>0.52194399308248929</v>
      </c>
      <c r="AK300" s="179">
        <f t="shared" si="438"/>
        <v>1.3718103652462883</v>
      </c>
      <c r="AM300" s="563">
        <f t="shared" si="439"/>
        <v>92.399999999999991</v>
      </c>
      <c r="AN300" s="472">
        <f t="shared" si="440"/>
        <v>350</v>
      </c>
      <c r="AP300">
        <f t="shared" si="441"/>
        <v>92.399999999999991</v>
      </c>
      <c r="AQ300">
        <f t="shared" si="442"/>
        <v>350</v>
      </c>
      <c r="AS300" s="6">
        <f t="shared" si="414"/>
        <v>2.8571428571428572</v>
      </c>
      <c r="AT300" s="6">
        <f t="shared" si="443"/>
        <v>1.6354245116584663</v>
      </c>
      <c r="AU300" s="6">
        <f t="shared" si="447"/>
        <v>1.221718345484391</v>
      </c>
      <c r="AV300" s="6"/>
      <c r="AW300" s="179">
        <f t="shared" si="448"/>
        <v>0.57239857908046321</v>
      </c>
      <c r="AX300" s="179"/>
      <c r="CD300" s="581">
        <f t="shared" si="444"/>
        <v>-50</v>
      </c>
      <c r="CE300">
        <f t="shared" si="445"/>
        <v>-50</v>
      </c>
    </row>
    <row r="301" spans="5:83" x14ac:dyDescent="0.2">
      <c r="E301" s="176">
        <v>85</v>
      </c>
      <c r="F301" s="223">
        <f t="shared" si="446"/>
        <v>9.35E-2</v>
      </c>
      <c r="G301" s="223"/>
      <c r="H301" s="223">
        <f t="shared" si="416"/>
        <v>2.2439999999999998</v>
      </c>
      <c r="I301" s="559">
        <f t="shared" si="417"/>
        <v>15</v>
      </c>
      <c r="J301" s="454">
        <f t="shared" si="418"/>
        <v>24.25</v>
      </c>
      <c r="K301" s="454">
        <f t="shared" si="419"/>
        <v>39.25</v>
      </c>
      <c r="L301" s="454"/>
      <c r="M301" s="223">
        <f t="shared" si="420"/>
        <v>0.61783439490445857</v>
      </c>
      <c r="N301" s="178">
        <f t="shared" si="421"/>
        <v>6.3830015923566883</v>
      </c>
      <c r="O301" s="178">
        <f t="shared" si="413"/>
        <v>2.2439999999999998</v>
      </c>
      <c r="P301" s="223">
        <f t="shared" si="422"/>
        <v>0.26595839968152868</v>
      </c>
      <c r="Q301" s="223">
        <f t="shared" si="423"/>
        <v>24</v>
      </c>
      <c r="R301" s="223"/>
      <c r="S301" s="178">
        <f t="shared" si="424"/>
        <v>95.533803075732621</v>
      </c>
      <c r="T301" s="178">
        <f t="shared" si="425"/>
        <v>24</v>
      </c>
      <c r="U301" s="223">
        <f t="shared" si="426"/>
        <v>0.50976017362995119</v>
      </c>
      <c r="V301" s="223">
        <f t="shared" si="427"/>
        <v>1.5972485440405135</v>
      </c>
      <c r="W301" s="223">
        <f t="shared" si="428"/>
        <v>0.98798879012815277</v>
      </c>
      <c r="X301" s="203">
        <f t="shared" si="429"/>
        <v>350</v>
      </c>
      <c r="Y301" s="454">
        <f t="shared" si="415"/>
        <v>350</v>
      </c>
      <c r="AA301" s="223">
        <f t="shared" si="430"/>
        <v>0.56337482818035733</v>
      </c>
      <c r="AB301" s="179">
        <f t="shared" si="431"/>
        <v>1.0919017288444037</v>
      </c>
      <c r="AC301" s="179">
        <f t="shared" si="432"/>
        <v>0.10765124105357142</v>
      </c>
      <c r="AD301" s="179"/>
      <c r="AE301" s="179">
        <f t="shared" si="433"/>
        <v>0.56206185567010303</v>
      </c>
      <c r="AF301" s="563">
        <f t="shared" si="434"/>
        <v>1147.2537759000179</v>
      </c>
      <c r="AG301" s="546">
        <f t="shared" si="435"/>
        <v>2.8524639175257726E-2</v>
      </c>
      <c r="AI301" s="179">
        <f t="shared" si="436"/>
        <v>0.52504161074063316</v>
      </c>
      <c r="AJ301" s="179">
        <f t="shared" si="437"/>
        <v>0.52504161074063316</v>
      </c>
      <c r="AK301" s="179">
        <f t="shared" si="438"/>
        <v>1.3741048968449134</v>
      </c>
      <c r="AM301" s="563">
        <f t="shared" si="439"/>
        <v>93.5</v>
      </c>
      <c r="AN301" s="472">
        <f t="shared" si="440"/>
        <v>350</v>
      </c>
      <c r="AP301">
        <f t="shared" si="441"/>
        <v>93.5</v>
      </c>
      <c r="AQ301">
        <f t="shared" si="442"/>
        <v>350</v>
      </c>
      <c r="AS301" s="6">
        <f t="shared" si="414"/>
        <v>2.8571428571428572</v>
      </c>
      <c r="AT301" s="6">
        <f t="shared" si="443"/>
        <v>1.6451303803206505</v>
      </c>
      <c r="AU301" s="6">
        <f t="shared" si="447"/>
        <v>1.2120124768222067</v>
      </c>
      <c r="AV301" s="6"/>
      <c r="AW301" s="179">
        <f t="shared" si="448"/>
        <v>0.5757956331122277</v>
      </c>
      <c r="AX301" s="179"/>
      <c r="CD301" s="581">
        <f t="shared" si="444"/>
        <v>-50</v>
      </c>
      <c r="CE301">
        <f t="shared" si="445"/>
        <v>-50</v>
      </c>
    </row>
    <row r="302" spans="5:83" x14ac:dyDescent="0.2">
      <c r="E302" s="176">
        <v>86</v>
      </c>
      <c r="F302" s="223">
        <f t="shared" si="446"/>
        <v>9.4600000000000004E-2</v>
      </c>
      <c r="G302" s="223"/>
      <c r="H302" s="223">
        <f t="shared" si="416"/>
        <v>2.2704</v>
      </c>
      <c r="I302" s="559">
        <f t="shared" si="417"/>
        <v>15</v>
      </c>
      <c r="J302" s="454">
        <f t="shared" si="418"/>
        <v>24.25</v>
      </c>
      <c r="K302" s="454">
        <f t="shared" si="419"/>
        <v>39.25</v>
      </c>
      <c r="L302" s="454"/>
      <c r="M302" s="223">
        <f t="shared" si="420"/>
        <v>0.61783439490445857</v>
      </c>
      <c r="N302" s="178">
        <f t="shared" si="421"/>
        <v>6.3830015923566883</v>
      </c>
      <c r="O302" s="178">
        <f t="shared" si="413"/>
        <v>2.2704</v>
      </c>
      <c r="P302" s="223">
        <f t="shared" si="422"/>
        <v>0.26595839968152868</v>
      </c>
      <c r="Q302" s="223">
        <f t="shared" si="423"/>
        <v>24</v>
      </c>
      <c r="R302" s="223"/>
      <c r="S302" s="178">
        <f t="shared" si="424"/>
        <v>94.249513610736301</v>
      </c>
      <c r="T302" s="178">
        <f t="shared" si="425"/>
        <v>24</v>
      </c>
      <c r="U302" s="223">
        <f t="shared" si="426"/>
        <v>0.51575735214324481</v>
      </c>
      <c r="V302" s="223">
        <f t="shared" si="427"/>
        <v>1.616039703382167</v>
      </c>
      <c r="W302" s="223">
        <f t="shared" si="428"/>
        <v>0.99961218765907234</v>
      </c>
      <c r="X302" s="203">
        <f t="shared" si="429"/>
        <v>350</v>
      </c>
      <c r="Y302" s="454">
        <f t="shared" si="415"/>
        <v>350</v>
      </c>
      <c r="AA302" s="223">
        <f t="shared" si="430"/>
        <v>0.56337482818035733</v>
      </c>
      <c r="AB302" s="179">
        <f t="shared" si="431"/>
        <v>1.0919017288444037</v>
      </c>
      <c r="AC302" s="179">
        <f t="shared" si="432"/>
        <v>0.10765124105357142</v>
      </c>
      <c r="AD302" s="179"/>
      <c r="AE302" s="179">
        <f t="shared" si="433"/>
        <v>0.56206185567010303</v>
      </c>
      <c r="AF302" s="563">
        <f t="shared" si="434"/>
        <v>1160.7508791459004</v>
      </c>
      <c r="AG302" s="546">
        <f t="shared" si="435"/>
        <v>2.8524639175257726E-2</v>
      </c>
      <c r="AI302" s="179">
        <f t="shared" si="436"/>
        <v>0.52812106008314375</v>
      </c>
      <c r="AJ302" s="179">
        <f t="shared" si="437"/>
        <v>0.52812106008314375</v>
      </c>
      <c r="AK302" s="179">
        <f t="shared" si="438"/>
        <v>1.3763859704319583</v>
      </c>
      <c r="AM302" s="563">
        <f t="shared" si="439"/>
        <v>94.600000000000009</v>
      </c>
      <c r="AN302" s="472">
        <f t="shared" si="440"/>
        <v>350</v>
      </c>
      <c r="AP302">
        <f t="shared" si="441"/>
        <v>94.600000000000009</v>
      </c>
      <c r="AQ302">
        <f t="shared" si="442"/>
        <v>350</v>
      </c>
      <c r="AS302" s="6">
        <f t="shared" si="414"/>
        <v>2.8571428571428572</v>
      </c>
      <c r="AT302" s="6">
        <f t="shared" si="443"/>
        <v>1.6547793215938504</v>
      </c>
      <c r="AU302" s="6">
        <f t="shared" si="447"/>
        <v>1.2023635355490068</v>
      </c>
      <c r="AV302" s="6"/>
      <c r="AW302" s="179">
        <f t="shared" si="448"/>
        <v>0.57917276255784766</v>
      </c>
      <c r="AX302" s="179"/>
      <c r="CD302" s="581">
        <f t="shared" si="444"/>
        <v>-50</v>
      </c>
      <c r="CE302">
        <f t="shared" si="445"/>
        <v>-50</v>
      </c>
    </row>
    <row r="303" spans="5:83" x14ac:dyDescent="0.2">
      <c r="E303" s="176">
        <v>87</v>
      </c>
      <c r="F303" s="223">
        <f t="shared" si="446"/>
        <v>9.5699999999999993E-2</v>
      </c>
      <c r="G303" s="223"/>
      <c r="H303" s="223">
        <f t="shared" si="416"/>
        <v>2.2967999999999997</v>
      </c>
      <c r="I303" s="559">
        <f t="shared" si="417"/>
        <v>15</v>
      </c>
      <c r="J303" s="454">
        <f t="shared" si="418"/>
        <v>24.25</v>
      </c>
      <c r="K303" s="454">
        <f t="shared" si="419"/>
        <v>39.25</v>
      </c>
      <c r="L303" s="454"/>
      <c r="M303" s="223">
        <f t="shared" si="420"/>
        <v>0.61783439490445857</v>
      </c>
      <c r="N303" s="178">
        <f t="shared" si="421"/>
        <v>6.3830015923566883</v>
      </c>
      <c r="O303" s="178">
        <f t="shared" si="413"/>
        <v>2.2967999999999997</v>
      </c>
      <c r="P303" s="223">
        <f t="shared" si="422"/>
        <v>0.26595839968152868</v>
      </c>
      <c r="Q303" s="223">
        <f t="shared" si="423"/>
        <v>24</v>
      </c>
      <c r="R303" s="223"/>
      <c r="S303" s="178">
        <f t="shared" si="424"/>
        <v>92.994762190712692</v>
      </c>
      <c r="T303" s="178">
        <f t="shared" si="425"/>
        <v>24</v>
      </c>
      <c r="U303" s="223">
        <f t="shared" si="426"/>
        <v>0.52175453065653832</v>
      </c>
      <c r="V303" s="223">
        <f t="shared" si="427"/>
        <v>1.6348308627238202</v>
      </c>
      <c r="W303" s="223">
        <f t="shared" si="428"/>
        <v>1.0112355851899917</v>
      </c>
      <c r="X303" s="203">
        <f t="shared" si="429"/>
        <v>350</v>
      </c>
      <c r="Y303" s="454">
        <f t="shared" si="415"/>
        <v>350</v>
      </c>
      <c r="AA303" s="223">
        <f t="shared" si="430"/>
        <v>0.56337482818035733</v>
      </c>
      <c r="AB303" s="179">
        <f t="shared" si="431"/>
        <v>1.0919017288444037</v>
      </c>
      <c r="AC303" s="179">
        <f t="shared" si="432"/>
        <v>0.10765124105357142</v>
      </c>
      <c r="AD303" s="179"/>
      <c r="AE303" s="179">
        <f t="shared" si="433"/>
        <v>0.56206185567010303</v>
      </c>
      <c r="AF303" s="563">
        <f t="shared" si="434"/>
        <v>1174.2479823917831</v>
      </c>
      <c r="AG303" s="546">
        <f t="shared" si="435"/>
        <v>2.8524639175257726E-2</v>
      </c>
      <c r="AI303" s="179">
        <f t="shared" si="436"/>
        <v>0.53118265709411905</v>
      </c>
      <c r="AJ303" s="179">
        <f t="shared" si="437"/>
        <v>0.53118265709411905</v>
      </c>
      <c r="AK303" s="179">
        <f t="shared" si="438"/>
        <v>1.3786538200697178</v>
      </c>
      <c r="AM303" s="563">
        <f t="shared" si="439"/>
        <v>95.699999999999989</v>
      </c>
      <c r="AN303" s="472">
        <f t="shared" si="440"/>
        <v>350</v>
      </c>
      <c r="AP303">
        <f t="shared" si="441"/>
        <v>95.699999999999989</v>
      </c>
      <c r="AQ303">
        <f t="shared" si="442"/>
        <v>350</v>
      </c>
      <c r="AS303" s="6">
        <f t="shared" si="414"/>
        <v>2.8571428571428572</v>
      </c>
      <c r="AT303" s="6">
        <f t="shared" si="443"/>
        <v>1.6643723255615728</v>
      </c>
      <c r="AU303" s="6">
        <f t="shared" si="447"/>
        <v>1.1927705315812844</v>
      </c>
      <c r="AV303" s="6"/>
      <c r="AW303" s="179">
        <f t="shared" si="448"/>
        <v>0.58253031394655042</v>
      </c>
      <c r="AX303" s="179"/>
      <c r="CD303" s="581">
        <f t="shared" si="444"/>
        <v>-50</v>
      </c>
      <c r="CE303">
        <f t="shared" si="445"/>
        <v>-50</v>
      </c>
    </row>
    <row r="304" spans="5:83" x14ac:dyDescent="0.2">
      <c r="E304" s="176">
        <v>88</v>
      </c>
      <c r="F304" s="223">
        <f t="shared" si="446"/>
        <v>9.6799999999999997E-2</v>
      </c>
      <c r="G304" s="223"/>
      <c r="H304" s="223">
        <f t="shared" si="416"/>
        <v>2.3231999999999999</v>
      </c>
      <c r="I304" s="559">
        <f t="shared" si="417"/>
        <v>15</v>
      </c>
      <c r="J304" s="454">
        <f t="shared" si="418"/>
        <v>24.25</v>
      </c>
      <c r="K304" s="454">
        <f t="shared" si="419"/>
        <v>39.25</v>
      </c>
      <c r="L304" s="454"/>
      <c r="M304" s="223">
        <f t="shared" si="420"/>
        <v>0.61783439490445857</v>
      </c>
      <c r="N304" s="178">
        <f t="shared" si="421"/>
        <v>6.3830015923566883</v>
      </c>
      <c r="O304" s="178">
        <f t="shared" si="413"/>
        <v>2.3231999999999999</v>
      </c>
      <c r="P304" s="223">
        <f t="shared" si="422"/>
        <v>0.26595839968152868</v>
      </c>
      <c r="Q304" s="223">
        <f t="shared" si="423"/>
        <v>24</v>
      </c>
      <c r="R304" s="223"/>
      <c r="S304" s="178">
        <f t="shared" si="424"/>
        <v>91.76854191237031</v>
      </c>
      <c r="T304" s="178">
        <f t="shared" si="425"/>
        <v>24</v>
      </c>
      <c r="U304" s="223">
        <f t="shared" si="426"/>
        <v>0.52775170916983183</v>
      </c>
      <c r="V304" s="223">
        <f t="shared" si="427"/>
        <v>1.6536220220654732</v>
      </c>
      <c r="W304" s="223">
        <f t="shared" si="428"/>
        <v>1.0228589827209114</v>
      </c>
      <c r="X304" s="203">
        <f t="shared" si="429"/>
        <v>350</v>
      </c>
      <c r="Y304" s="454">
        <f t="shared" si="415"/>
        <v>350</v>
      </c>
      <c r="AA304" s="223">
        <f t="shared" si="430"/>
        <v>0.56337482818035733</v>
      </c>
      <c r="AB304" s="179">
        <f t="shared" si="431"/>
        <v>1.0919017288444037</v>
      </c>
      <c r="AC304" s="179">
        <f t="shared" si="432"/>
        <v>0.10765124105357142</v>
      </c>
      <c r="AD304" s="179"/>
      <c r="AE304" s="179">
        <f t="shared" si="433"/>
        <v>0.56206185567010303</v>
      </c>
      <c r="AF304" s="563">
        <f t="shared" si="434"/>
        <v>1187.7450856376656</v>
      </c>
      <c r="AG304" s="546">
        <f t="shared" si="435"/>
        <v>2.8524639175257726E-2</v>
      </c>
      <c r="AI304" s="179">
        <f t="shared" si="436"/>
        <v>0.53422670870314348</v>
      </c>
      <c r="AJ304" s="179">
        <f t="shared" si="437"/>
        <v>0.53422670870314348</v>
      </c>
      <c r="AK304" s="179">
        <f t="shared" si="438"/>
        <v>1.3809086731134395</v>
      </c>
      <c r="AM304" s="563">
        <f t="shared" si="439"/>
        <v>96.8</v>
      </c>
      <c r="AN304" s="472">
        <f t="shared" si="440"/>
        <v>350</v>
      </c>
      <c r="AP304">
        <f t="shared" si="441"/>
        <v>96.8</v>
      </c>
      <c r="AQ304">
        <f t="shared" si="442"/>
        <v>350</v>
      </c>
      <c r="AS304" s="6">
        <f t="shared" si="414"/>
        <v>2.8571428571428572</v>
      </c>
      <c r="AT304" s="6">
        <f t="shared" si="443"/>
        <v>1.6739103539365161</v>
      </c>
      <c r="AU304" s="6">
        <f t="shared" si="447"/>
        <v>1.1832325032063411</v>
      </c>
      <c r="AV304" s="6"/>
      <c r="AW304" s="179">
        <f t="shared" si="448"/>
        <v>0.5858686238777806</v>
      </c>
      <c r="AX304" s="179"/>
      <c r="CD304" s="581">
        <f t="shared" si="444"/>
        <v>-50</v>
      </c>
      <c r="CE304">
        <f t="shared" si="445"/>
        <v>-50</v>
      </c>
    </row>
    <row r="305" spans="5:83" x14ac:dyDescent="0.2">
      <c r="E305" s="176">
        <v>89</v>
      </c>
      <c r="F305" s="223">
        <f t="shared" si="446"/>
        <v>9.7900000000000001E-2</v>
      </c>
      <c r="G305" s="223"/>
      <c r="H305" s="223">
        <f t="shared" si="416"/>
        <v>2.3496000000000001</v>
      </c>
      <c r="I305" s="559">
        <f t="shared" si="417"/>
        <v>15</v>
      </c>
      <c r="J305" s="454">
        <f t="shared" si="418"/>
        <v>24.25</v>
      </c>
      <c r="K305" s="454">
        <f t="shared" si="419"/>
        <v>39.25</v>
      </c>
      <c r="L305" s="454"/>
      <c r="M305" s="223">
        <f t="shared" si="420"/>
        <v>0.61783439490445857</v>
      </c>
      <c r="N305" s="178">
        <f t="shared" si="421"/>
        <v>6.3830015923566883</v>
      </c>
      <c r="O305" s="178">
        <f t="shared" si="413"/>
        <v>2.3496000000000001</v>
      </c>
      <c r="P305" s="223">
        <f t="shared" si="422"/>
        <v>0.26595839968152868</v>
      </c>
      <c r="Q305" s="223">
        <f t="shared" si="423"/>
        <v>24</v>
      </c>
      <c r="R305" s="223"/>
      <c r="S305" s="178">
        <f t="shared" si="424"/>
        <v>90.569891127023766</v>
      </c>
      <c r="T305" s="178">
        <f t="shared" si="425"/>
        <v>24</v>
      </c>
      <c r="U305" s="223">
        <f t="shared" si="426"/>
        <v>0.53374888768312545</v>
      </c>
      <c r="V305" s="223">
        <f t="shared" si="427"/>
        <v>1.6724131814071264</v>
      </c>
      <c r="W305" s="223">
        <f t="shared" si="428"/>
        <v>1.0344823802518308</v>
      </c>
      <c r="X305" s="203">
        <f t="shared" si="429"/>
        <v>350</v>
      </c>
      <c r="Y305" s="454">
        <f t="shared" si="415"/>
        <v>350</v>
      </c>
      <c r="AA305" s="223">
        <f t="shared" si="430"/>
        <v>0.56337482818035733</v>
      </c>
      <c r="AB305" s="179">
        <f t="shared" si="431"/>
        <v>1.0919017288444037</v>
      </c>
      <c r="AC305" s="179">
        <f t="shared" si="432"/>
        <v>0.10765124105357142</v>
      </c>
      <c r="AD305" s="179"/>
      <c r="AE305" s="179">
        <f t="shared" si="433"/>
        <v>0.56206185567010303</v>
      </c>
      <c r="AF305" s="563">
        <f t="shared" si="434"/>
        <v>1201.2421888835481</v>
      </c>
      <c r="AG305" s="546">
        <f t="shared" si="435"/>
        <v>2.8524639175257726E-2</v>
      </c>
      <c r="AI305" s="179">
        <f t="shared" si="436"/>
        <v>0.53725351314441705</v>
      </c>
      <c r="AJ305" s="179">
        <f t="shared" si="437"/>
        <v>0.53725351314441705</v>
      </c>
      <c r="AK305" s="179">
        <f t="shared" si="438"/>
        <v>1.3831507504773459</v>
      </c>
      <c r="AM305" s="563">
        <f t="shared" si="439"/>
        <v>97.9</v>
      </c>
      <c r="AN305" s="472">
        <f t="shared" si="440"/>
        <v>350</v>
      </c>
      <c r="AP305">
        <f t="shared" si="441"/>
        <v>97.9</v>
      </c>
      <c r="AQ305">
        <f t="shared" si="442"/>
        <v>350</v>
      </c>
      <c r="AS305" s="6">
        <f t="shared" si="414"/>
        <v>2.8571428571428572</v>
      </c>
      <c r="AT305" s="6">
        <f t="shared" si="443"/>
        <v>1.6833943411858399</v>
      </c>
      <c r="AU305" s="6">
        <f t="shared" si="447"/>
        <v>1.1737485159570173</v>
      </c>
      <c r="AV305" s="6"/>
      <c r="AW305" s="179">
        <f t="shared" si="448"/>
        <v>0.58918801941504395</v>
      </c>
      <c r="AX305" s="179"/>
      <c r="CD305" s="581">
        <f t="shared" si="444"/>
        <v>-50</v>
      </c>
      <c r="CE305">
        <f t="shared" si="445"/>
        <v>-50</v>
      </c>
    </row>
    <row r="306" spans="5:83" x14ac:dyDescent="0.2">
      <c r="E306" s="176">
        <v>90</v>
      </c>
      <c r="F306" s="223">
        <f t="shared" si="446"/>
        <v>9.9000000000000005E-2</v>
      </c>
      <c r="G306" s="223"/>
      <c r="H306" s="223">
        <f t="shared" si="416"/>
        <v>2.3760000000000003</v>
      </c>
      <c r="I306" s="559">
        <f t="shared" si="417"/>
        <v>15</v>
      </c>
      <c r="J306" s="454">
        <f t="shared" si="418"/>
        <v>24.25</v>
      </c>
      <c r="K306" s="454">
        <f t="shared" si="419"/>
        <v>39.25</v>
      </c>
      <c r="L306" s="454"/>
      <c r="M306" s="223">
        <f t="shared" si="420"/>
        <v>0.61783439490445857</v>
      </c>
      <c r="N306" s="178">
        <f t="shared" si="421"/>
        <v>6.3830015923566883</v>
      </c>
      <c r="O306" s="178">
        <f t="shared" si="413"/>
        <v>2.3760000000000003</v>
      </c>
      <c r="P306" s="223">
        <f t="shared" si="422"/>
        <v>0.26595839968152868</v>
      </c>
      <c r="Q306" s="223">
        <f t="shared" si="423"/>
        <v>24</v>
      </c>
      <c r="R306" s="223"/>
      <c r="S306" s="178">
        <f t="shared" si="424"/>
        <v>89.397890926453471</v>
      </c>
      <c r="T306" s="178">
        <f t="shared" si="425"/>
        <v>24</v>
      </c>
      <c r="U306" s="223">
        <f t="shared" si="426"/>
        <v>0.53974606619641907</v>
      </c>
      <c r="V306" s="223">
        <f t="shared" si="427"/>
        <v>1.6912043407487798</v>
      </c>
      <c r="W306" s="223">
        <f t="shared" si="428"/>
        <v>1.0461057777827503</v>
      </c>
      <c r="X306" s="203">
        <f t="shared" si="429"/>
        <v>350</v>
      </c>
      <c r="Y306" s="454">
        <f t="shared" si="415"/>
        <v>350</v>
      </c>
      <c r="AA306" s="223">
        <f t="shared" si="430"/>
        <v>0.56337482818035733</v>
      </c>
      <c r="AB306" s="179">
        <f t="shared" si="431"/>
        <v>1.0919017288444037</v>
      </c>
      <c r="AC306" s="179">
        <f t="shared" si="432"/>
        <v>0.10765124105357142</v>
      </c>
      <c r="AD306" s="179"/>
      <c r="AE306" s="179">
        <f t="shared" si="433"/>
        <v>0.56206185567010303</v>
      </c>
      <c r="AF306" s="563">
        <f t="shared" si="434"/>
        <v>1214.7392921294309</v>
      </c>
      <c r="AG306" s="546">
        <f t="shared" si="435"/>
        <v>2.8524639175257726E-2</v>
      </c>
      <c r="AI306" s="179">
        <f t="shared" si="436"/>
        <v>0.54026336029777478</v>
      </c>
      <c r="AJ306" s="179">
        <f t="shared" si="437"/>
        <v>0.54026336029777478</v>
      </c>
      <c r="AK306" s="179">
        <f t="shared" si="438"/>
        <v>1.3853802668872406</v>
      </c>
      <c r="AM306" s="563">
        <f t="shared" si="439"/>
        <v>99</v>
      </c>
      <c r="AN306" s="472">
        <f t="shared" si="440"/>
        <v>350</v>
      </c>
      <c r="AP306">
        <f t="shared" si="441"/>
        <v>99</v>
      </c>
      <c r="AQ306">
        <f t="shared" si="442"/>
        <v>350</v>
      </c>
      <c r="AS306" s="6">
        <f t="shared" si="414"/>
        <v>2.8571428571428572</v>
      </c>
      <c r="AT306" s="6">
        <f t="shared" si="443"/>
        <v>1.6928251955996942</v>
      </c>
      <c r="AU306" s="6">
        <f t="shared" si="447"/>
        <v>1.164317661543163</v>
      </c>
      <c r="AV306" s="6"/>
      <c r="AW306" s="179">
        <f t="shared" si="448"/>
        <v>0.59248881845989299</v>
      </c>
      <c r="AX306" s="179"/>
      <c r="CD306" s="581">
        <f t="shared" si="444"/>
        <v>-50</v>
      </c>
      <c r="CE306">
        <f t="shared" si="445"/>
        <v>-50</v>
      </c>
    </row>
    <row r="307" spans="5:83" x14ac:dyDescent="0.2">
      <c r="E307" s="176">
        <v>91</v>
      </c>
      <c r="F307" s="223">
        <f t="shared" si="446"/>
        <v>0.10010000000000001</v>
      </c>
      <c r="G307" s="223"/>
      <c r="H307" s="223">
        <f t="shared" si="416"/>
        <v>2.4024000000000001</v>
      </c>
      <c r="I307" s="559">
        <f t="shared" si="417"/>
        <v>15</v>
      </c>
      <c r="J307" s="454">
        <f t="shared" si="418"/>
        <v>24.25</v>
      </c>
      <c r="K307" s="454">
        <f t="shared" si="419"/>
        <v>39.25</v>
      </c>
      <c r="L307" s="454"/>
      <c r="M307" s="223">
        <f t="shared" si="420"/>
        <v>0.61783439490445857</v>
      </c>
      <c r="N307" s="178">
        <f t="shared" si="421"/>
        <v>6.3830015923566883</v>
      </c>
      <c r="O307" s="178">
        <f t="shared" si="413"/>
        <v>2.4024000000000001</v>
      </c>
      <c r="P307" s="223">
        <f t="shared" si="422"/>
        <v>0.26595839968152868</v>
      </c>
      <c r="Q307" s="223">
        <f t="shared" si="423"/>
        <v>24</v>
      </c>
      <c r="R307" s="223"/>
      <c r="S307" s="178">
        <f t="shared" si="424"/>
        <v>88.251662794532805</v>
      </c>
      <c r="T307" s="178">
        <f t="shared" si="425"/>
        <v>24</v>
      </c>
      <c r="U307" s="223">
        <f t="shared" si="426"/>
        <v>0.54574324470971247</v>
      </c>
      <c r="V307" s="223">
        <f t="shared" si="427"/>
        <v>1.7099955000904323</v>
      </c>
      <c r="W307" s="223">
        <f t="shared" si="428"/>
        <v>1.0577291753136695</v>
      </c>
      <c r="X307" s="203">
        <f t="shared" si="429"/>
        <v>350</v>
      </c>
      <c r="Y307" s="454">
        <f t="shared" si="415"/>
        <v>350</v>
      </c>
      <c r="AA307" s="223">
        <f t="shared" si="430"/>
        <v>0.56337482818035733</v>
      </c>
      <c r="AB307" s="179">
        <f t="shared" si="431"/>
        <v>1.0919017288444037</v>
      </c>
      <c r="AC307" s="179">
        <f t="shared" si="432"/>
        <v>0.10765124105357142</v>
      </c>
      <c r="AD307" s="179"/>
      <c r="AE307" s="179">
        <f t="shared" si="433"/>
        <v>0.56206185567010303</v>
      </c>
      <c r="AF307" s="563">
        <f t="shared" si="434"/>
        <v>1228.2363953753136</v>
      </c>
      <c r="AG307" s="546">
        <f t="shared" si="435"/>
        <v>2.8524639175257726E-2</v>
      </c>
      <c r="AI307" s="179">
        <f t="shared" si="436"/>
        <v>0.54325653201270219</v>
      </c>
      <c r="AJ307" s="179">
        <f t="shared" si="437"/>
        <v>0.54325653201270219</v>
      </c>
      <c r="AK307" s="179">
        <f t="shared" si="438"/>
        <v>1.3875974311205201</v>
      </c>
      <c r="AM307" s="563">
        <f t="shared" si="439"/>
        <v>100.10000000000001</v>
      </c>
      <c r="AN307" s="472">
        <f t="shared" si="440"/>
        <v>350</v>
      </c>
      <c r="AP307">
        <f t="shared" si="441"/>
        <v>100.10000000000001</v>
      </c>
      <c r="AQ307">
        <f t="shared" si="442"/>
        <v>350</v>
      </c>
      <c r="AS307" s="6">
        <f t="shared" si="414"/>
        <v>2.8571428571428572</v>
      </c>
      <c r="AT307" s="6">
        <f t="shared" si="443"/>
        <v>1.7022038003064668</v>
      </c>
      <c r="AU307" s="6">
        <f t="shared" si="447"/>
        <v>1.1549390568363904</v>
      </c>
      <c r="AV307" s="6"/>
      <c r="AW307" s="179">
        <f t="shared" si="448"/>
        <v>0.59577133010726335</v>
      </c>
      <c r="AX307" s="179"/>
      <c r="CD307" s="581">
        <f t="shared" si="444"/>
        <v>-50</v>
      </c>
      <c r="CE307">
        <f t="shared" si="445"/>
        <v>-50</v>
      </c>
    </row>
    <row r="308" spans="5:83" x14ac:dyDescent="0.2">
      <c r="E308" s="176">
        <v>92</v>
      </c>
      <c r="F308" s="223">
        <f t="shared" si="446"/>
        <v>0.1012</v>
      </c>
      <c r="G308" s="223"/>
      <c r="H308" s="223">
        <f t="shared" si="416"/>
        <v>2.4287999999999998</v>
      </c>
      <c r="I308" s="559">
        <f t="shared" si="417"/>
        <v>15</v>
      </c>
      <c r="J308" s="454">
        <f t="shared" si="418"/>
        <v>24.25</v>
      </c>
      <c r="K308" s="454">
        <f t="shared" si="419"/>
        <v>39.25</v>
      </c>
      <c r="L308" s="454"/>
      <c r="M308" s="223">
        <f t="shared" si="420"/>
        <v>0.61783439490445857</v>
      </c>
      <c r="N308" s="178">
        <f t="shared" si="421"/>
        <v>6.3830015923566883</v>
      </c>
      <c r="O308" s="178">
        <f t="shared" si="413"/>
        <v>2.4287999999999998</v>
      </c>
      <c r="P308" s="223">
        <f t="shared" si="422"/>
        <v>0.26595839968152868</v>
      </c>
      <c r="Q308" s="223">
        <f t="shared" si="423"/>
        <v>24</v>
      </c>
      <c r="R308" s="223"/>
      <c r="S308" s="178">
        <f t="shared" si="424"/>
        <v>87.130366412010204</v>
      </c>
      <c r="T308" s="178">
        <f t="shared" si="425"/>
        <v>24</v>
      </c>
      <c r="U308" s="223">
        <f t="shared" si="426"/>
        <v>0.55174042322300598</v>
      </c>
      <c r="V308" s="223">
        <f t="shared" si="427"/>
        <v>1.7287866594320853</v>
      </c>
      <c r="W308" s="223">
        <f t="shared" si="428"/>
        <v>1.0693525728445887</v>
      </c>
      <c r="X308" s="203">
        <f t="shared" si="429"/>
        <v>350</v>
      </c>
      <c r="Y308" s="454">
        <f t="shared" si="415"/>
        <v>350</v>
      </c>
      <c r="AA308" s="223">
        <f t="shared" si="430"/>
        <v>0.56337482818035733</v>
      </c>
      <c r="AB308" s="179">
        <f t="shared" si="431"/>
        <v>1.0919017288444037</v>
      </c>
      <c r="AC308" s="179">
        <f t="shared" si="432"/>
        <v>0.10765124105357142</v>
      </c>
      <c r="AD308" s="179"/>
      <c r="AE308" s="179">
        <f t="shared" si="433"/>
        <v>0.56206185567010303</v>
      </c>
      <c r="AF308" s="563">
        <f t="shared" si="434"/>
        <v>1241.7334986211958</v>
      </c>
      <c r="AG308" s="546">
        <f t="shared" si="435"/>
        <v>2.8524639175257726E-2</v>
      </c>
      <c r="AI308" s="179">
        <f t="shared" si="436"/>
        <v>0.54623330241636958</v>
      </c>
      <c r="AJ308" s="179">
        <f t="shared" si="437"/>
        <v>0.54623330241636958</v>
      </c>
      <c r="AK308" s="179">
        <f t="shared" si="438"/>
        <v>1.3898024462343477</v>
      </c>
      <c r="AM308" s="563">
        <f t="shared" si="439"/>
        <v>101.2</v>
      </c>
      <c r="AN308" s="472">
        <f t="shared" si="440"/>
        <v>350</v>
      </c>
      <c r="AP308">
        <f t="shared" si="441"/>
        <v>101.2</v>
      </c>
      <c r="AQ308">
        <f t="shared" si="442"/>
        <v>350</v>
      </c>
      <c r="AS308" s="6">
        <f t="shared" si="414"/>
        <v>2.8571428571428572</v>
      </c>
      <c r="AT308" s="6">
        <f t="shared" si="443"/>
        <v>1.7115310142379578</v>
      </c>
      <c r="AU308" s="6">
        <f t="shared" si="447"/>
        <v>1.1456118429048994</v>
      </c>
      <c r="AV308" s="6"/>
      <c r="AW308" s="179">
        <f t="shared" si="448"/>
        <v>0.59903585498328527</v>
      </c>
      <c r="AX308" s="179"/>
      <c r="CD308" s="581">
        <f t="shared" si="444"/>
        <v>-50</v>
      </c>
      <c r="CE308">
        <f t="shared" si="445"/>
        <v>-50</v>
      </c>
    </row>
    <row r="309" spans="5:83" x14ac:dyDescent="0.2">
      <c r="E309" s="176">
        <v>93</v>
      </c>
      <c r="F309" s="223">
        <f t="shared" si="446"/>
        <v>0.1023</v>
      </c>
      <c r="G309" s="223"/>
      <c r="H309" s="223">
        <f t="shared" si="416"/>
        <v>2.4552</v>
      </c>
      <c r="I309" s="559">
        <f t="shared" si="417"/>
        <v>15</v>
      </c>
      <c r="J309" s="454">
        <f t="shared" si="418"/>
        <v>24.25</v>
      </c>
      <c r="K309" s="454">
        <f t="shared" si="419"/>
        <v>39.25</v>
      </c>
      <c r="L309" s="454"/>
      <c r="M309" s="223">
        <f t="shared" si="420"/>
        <v>0.61783439490445857</v>
      </c>
      <c r="N309" s="178">
        <f t="shared" si="421"/>
        <v>6.3830015923566883</v>
      </c>
      <c r="O309" s="178">
        <f t="shared" si="413"/>
        <v>2.4552</v>
      </c>
      <c r="P309" s="223">
        <f t="shared" si="422"/>
        <v>0.26595839968152868</v>
      </c>
      <c r="Q309" s="223">
        <f t="shared" si="423"/>
        <v>24</v>
      </c>
      <c r="R309" s="223"/>
      <c r="S309" s="178">
        <f t="shared" si="424"/>
        <v>86.033197602918037</v>
      </c>
      <c r="T309" s="178">
        <f t="shared" si="425"/>
        <v>24</v>
      </c>
      <c r="U309" s="223">
        <f t="shared" si="426"/>
        <v>0.5577376017362996</v>
      </c>
      <c r="V309" s="223">
        <f t="shared" si="427"/>
        <v>1.7475778187737387</v>
      </c>
      <c r="W309" s="223">
        <f t="shared" si="428"/>
        <v>1.0809759703755086</v>
      </c>
      <c r="X309" s="203">
        <f t="shared" si="429"/>
        <v>350</v>
      </c>
      <c r="Y309" s="454">
        <f t="shared" si="415"/>
        <v>350</v>
      </c>
      <c r="AA309" s="223">
        <f t="shared" si="430"/>
        <v>0.56337482818035733</v>
      </c>
      <c r="AB309" s="179">
        <f t="shared" si="431"/>
        <v>1.0919017288444037</v>
      </c>
      <c r="AC309" s="179">
        <f t="shared" si="432"/>
        <v>0.10765124105357142</v>
      </c>
      <c r="AD309" s="179"/>
      <c r="AE309" s="179">
        <f t="shared" si="433"/>
        <v>0.56206185567010303</v>
      </c>
      <c r="AF309" s="563">
        <f t="shared" si="434"/>
        <v>1255.2306018670786</v>
      </c>
      <c r="AG309" s="546">
        <f t="shared" si="435"/>
        <v>2.8524639175257726E-2</v>
      </c>
      <c r="AI309" s="179">
        <f t="shared" si="436"/>
        <v>0.54919393820663931</v>
      </c>
      <c r="AJ309" s="179">
        <f t="shared" si="437"/>
        <v>0.54919393820663931</v>
      </c>
      <c r="AK309" s="179">
        <f t="shared" si="438"/>
        <v>1.3919955097826957</v>
      </c>
      <c r="AM309" s="563">
        <f t="shared" si="439"/>
        <v>102.3</v>
      </c>
      <c r="AN309" s="472">
        <f t="shared" si="440"/>
        <v>350</v>
      </c>
      <c r="AP309">
        <f t="shared" si="441"/>
        <v>102.3</v>
      </c>
      <c r="AQ309">
        <f t="shared" si="442"/>
        <v>350</v>
      </c>
      <c r="AS309" s="6">
        <f t="shared" si="414"/>
        <v>2.8571428571428572</v>
      </c>
      <c r="AT309" s="6">
        <f t="shared" si="443"/>
        <v>1.7208076730474697</v>
      </c>
      <c r="AU309" s="6">
        <f t="shared" si="447"/>
        <v>1.1363351840953875</v>
      </c>
      <c r="AV309" s="6"/>
      <c r="AW309" s="179">
        <f t="shared" si="448"/>
        <v>0.60228268556661435</v>
      </c>
      <c r="AX309" s="179"/>
      <c r="CD309" s="581">
        <f t="shared" si="444"/>
        <v>-50</v>
      </c>
      <c r="CE309">
        <f t="shared" si="445"/>
        <v>-50</v>
      </c>
    </row>
    <row r="310" spans="5:83" x14ac:dyDescent="0.2">
      <c r="E310" s="176">
        <v>94</v>
      </c>
      <c r="F310" s="223">
        <f t="shared" si="446"/>
        <v>0.10339999999999999</v>
      </c>
      <c r="G310" s="223"/>
      <c r="H310" s="223">
        <f t="shared" si="416"/>
        <v>2.4815999999999998</v>
      </c>
      <c r="I310" s="559">
        <f t="shared" si="417"/>
        <v>15</v>
      </c>
      <c r="J310" s="454">
        <f t="shared" si="418"/>
        <v>24.25</v>
      </c>
      <c r="K310" s="454">
        <f t="shared" si="419"/>
        <v>39.25</v>
      </c>
      <c r="L310" s="454"/>
      <c r="M310" s="223">
        <f t="shared" si="420"/>
        <v>0.61783439490445857</v>
      </c>
      <c r="N310" s="178">
        <f t="shared" si="421"/>
        <v>6.3830015923566883</v>
      </c>
      <c r="O310" s="178">
        <f t="shared" si="413"/>
        <v>2.4815999999999998</v>
      </c>
      <c r="P310" s="223">
        <f t="shared" si="422"/>
        <v>0.26595839968152868</v>
      </c>
      <c r="Q310" s="223">
        <f t="shared" si="423"/>
        <v>24</v>
      </c>
      <c r="R310" s="223"/>
      <c r="S310" s="178">
        <f t="shared" si="424"/>
        <v>84.959386412062145</v>
      </c>
      <c r="T310" s="178">
        <f t="shared" si="425"/>
        <v>24</v>
      </c>
      <c r="U310" s="223">
        <f t="shared" si="426"/>
        <v>0.56373478024959311</v>
      </c>
      <c r="V310" s="223">
        <f t="shared" si="427"/>
        <v>1.7663689781153915</v>
      </c>
      <c r="W310" s="223">
        <f t="shared" si="428"/>
        <v>1.0925993679064279</v>
      </c>
      <c r="X310" s="203">
        <f t="shared" si="429"/>
        <v>350</v>
      </c>
      <c r="Y310" s="454">
        <f t="shared" si="415"/>
        <v>349.77652039816189</v>
      </c>
      <c r="AA310" s="223">
        <f t="shared" si="430"/>
        <v>0.56337482818035733</v>
      </c>
      <c r="AB310" s="179">
        <f t="shared" si="431"/>
        <v>1.0919017288444037</v>
      </c>
      <c r="AC310" s="179">
        <f t="shared" si="432"/>
        <v>0.10765124105357142</v>
      </c>
      <c r="AD310" s="179"/>
      <c r="AE310" s="179">
        <f t="shared" si="433"/>
        <v>0.56206185567010303</v>
      </c>
      <c r="AF310" s="563">
        <f t="shared" si="434"/>
        <v>1268.7277051129608</v>
      </c>
      <c r="AG310" s="546">
        <f t="shared" si="435"/>
        <v>2.8524639175257726E-2</v>
      </c>
      <c r="AI310" s="179">
        <f t="shared" si="436"/>
        <v>0.55213869893093248</v>
      </c>
      <c r="AJ310" s="179">
        <f t="shared" si="437"/>
        <v>0.55213869893093248</v>
      </c>
      <c r="AK310" s="179">
        <f t="shared" si="438"/>
        <v>1.3941768140229129</v>
      </c>
      <c r="AM310" s="563">
        <f t="shared" si="439"/>
        <v>103.39999999999999</v>
      </c>
      <c r="AN310" s="472">
        <f t="shared" si="440"/>
        <v>349.77652039816189</v>
      </c>
      <c r="AP310">
        <f t="shared" si="441"/>
        <v>103.39999999999999</v>
      </c>
      <c r="AQ310">
        <f t="shared" si="442"/>
        <v>349.77652039816189</v>
      </c>
      <c r="AS310" s="6">
        <f t="shared" si="414"/>
        <v>2.8589683460218192</v>
      </c>
      <c r="AT310" s="6">
        <f t="shared" si="443"/>
        <v>1.7300345899835883</v>
      </c>
      <c r="AU310" s="6">
        <f t="shared" si="447"/>
        <v>1.1289337560382309</v>
      </c>
      <c r="AV310" s="6"/>
      <c r="AW310" s="179">
        <f t="shared" si="448"/>
        <v>0.60512547905292025</v>
      </c>
      <c r="AX310" s="179"/>
      <c r="CD310" s="581">
        <f t="shared" si="444"/>
        <v>-50</v>
      </c>
      <c r="CE310">
        <f t="shared" si="445"/>
        <v>-50</v>
      </c>
    </row>
    <row r="311" spans="5:83" x14ac:dyDescent="0.2">
      <c r="E311" s="176">
        <v>95</v>
      </c>
      <c r="F311" s="223">
        <f t="shared" si="446"/>
        <v>0.1045</v>
      </c>
      <c r="G311" s="223"/>
      <c r="H311" s="223">
        <f t="shared" si="416"/>
        <v>2.508</v>
      </c>
      <c r="I311" s="559">
        <f t="shared" si="417"/>
        <v>15</v>
      </c>
      <c r="J311" s="454">
        <f t="shared" si="418"/>
        <v>24.25</v>
      </c>
      <c r="K311" s="454">
        <f t="shared" si="419"/>
        <v>39.25</v>
      </c>
      <c r="L311" s="454"/>
      <c r="M311" s="223">
        <f t="shared" si="420"/>
        <v>0.61783439490445857</v>
      </c>
      <c r="N311" s="178">
        <f t="shared" si="421"/>
        <v>6.3830015923566883</v>
      </c>
      <c r="O311" s="178">
        <f t="shared" si="413"/>
        <v>2.508</v>
      </c>
      <c r="P311" s="223">
        <f t="shared" si="422"/>
        <v>0.26595839968152868</v>
      </c>
      <c r="Q311" s="223">
        <f t="shared" si="423"/>
        <v>24</v>
      </c>
      <c r="R311" s="223"/>
      <c r="S311" s="178">
        <f t="shared" si="424"/>
        <v>83.908195303932743</v>
      </c>
      <c r="T311" s="178">
        <f t="shared" si="425"/>
        <v>24</v>
      </c>
      <c r="U311" s="223">
        <f t="shared" si="426"/>
        <v>0.56973195876288663</v>
      </c>
      <c r="V311" s="223">
        <f t="shared" si="427"/>
        <v>1.7851601374570445</v>
      </c>
      <c r="W311" s="223">
        <f t="shared" si="428"/>
        <v>1.1042227654373473</v>
      </c>
      <c r="X311" s="203">
        <f t="shared" si="429"/>
        <v>350</v>
      </c>
      <c r="Y311" s="454">
        <f t="shared" si="415"/>
        <v>346.09466228870758</v>
      </c>
      <c r="AA311" s="223">
        <f t="shared" si="430"/>
        <v>0.56337482818035733</v>
      </c>
      <c r="AB311" s="179">
        <f t="shared" si="431"/>
        <v>1.0919017288444037</v>
      </c>
      <c r="AC311" s="179">
        <f t="shared" si="432"/>
        <v>0.10765124105357142</v>
      </c>
      <c r="AD311" s="179"/>
      <c r="AE311" s="179">
        <f t="shared" si="433"/>
        <v>0.56206185567010303</v>
      </c>
      <c r="AF311" s="563">
        <f t="shared" si="434"/>
        <v>1282.2248083588433</v>
      </c>
      <c r="AG311" s="546">
        <f t="shared" si="435"/>
        <v>2.8524639175257726E-2</v>
      </c>
      <c r="AI311" s="179">
        <f t="shared" si="436"/>
        <v>0.55506783725177933</v>
      </c>
      <c r="AJ311" s="179">
        <f t="shared" si="437"/>
        <v>0.55506783725177933</v>
      </c>
      <c r="AK311" s="179">
        <f t="shared" si="438"/>
        <v>1.3963465461124291</v>
      </c>
      <c r="AM311" s="563">
        <f t="shared" si="439"/>
        <v>104.5</v>
      </c>
      <c r="AN311" s="472">
        <f t="shared" si="440"/>
        <v>346.09466228870758</v>
      </c>
      <c r="AP311">
        <f t="shared" si="441"/>
        <v>104.5</v>
      </c>
      <c r="AQ311">
        <f t="shared" si="442"/>
        <v>346.09466228870758</v>
      </c>
      <c r="AS311" s="6">
        <f t="shared" si="414"/>
        <v>2.8893829028943916</v>
      </c>
      <c r="AT311" s="6">
        <f t="shared" si="443"/>
        <v>1.7392125567222416</v>
      </c>
      <c r="AU311" s="6">
        <f t="shared" si="447"/>
        <v>1.15017034617215</v>
      </c>
      <c r="AV311" s="6"/>
      <c r="AW311" s="179">
        <f t="shared" si="448"/>
        <v>0.60193218246706393</v>
      </c>
      <c r="AX311" s="179"/>
      <c r="CD311" s="581">
        <f t="shared" si="444"/>
        <v>-50</v>
      </c>
      <c r="CE311">
        <f t="shared" si="445"/>
        <v>-50</v>
      </c>
    </row>
    <row r="312" spans="5:83" x14ac:dyDescent="0.2">
      <c r="E312" s="176">
        <v>96</v>
      </c>
      <c r="F312" s="223">
        <f t="shared" si="446"/>
        <v>0.1056</v>
      </c>
      <c r="G312" s="223"/>
      <c r="H312" s="223">
        <f t="shared" ref="H312:H316" si="449">F312*Vout</f>
        <v>2.5343999999999998</v>
      </c>
      <c r="I312" s="559">
        <f t="shared" si="417"/>
        <v>15</v>
      </c>
      <c r="J312" s="454">
        <f t="shared" si="418"/>
        <v>24.25</v>
      </c>
      <c r="K312" s="454">
        <f t="shared" si="419"/>
        <v>39.25</v>
      </c>
      <c r="L312" s="454"/>
      <c r="M312" s="223">
        <f t="shared" si="420"/>
        <v>0.61783439490445857</v>
      </c>
      <c r="N312" s="178">
        <f t="shared" ref="N312:N316" si="450">M312*I312*Isw_max*0.5*Efficiency</f>
        <v>6.3830015923566883</v>
      </c>
      <c r="O312" s="178">
        <f t="shared" si="413"/>
        <v>2.5343999999999998</v>
      </c>
      <c r="P312" s="223">
        <f t="shared" ref="P312:P316" si="451">N312/Vout</f>
        <v>0.26595839968152868</v>
      </c>
      <c r="Q312" s="223">
        <f t="shared" si="423"/>
        <v>24</v>
      </c>
      <c r="R312" s="223"/>
      <c r="S312" s="178">
        <f t="shared" si="424"/>
        <v>82.878917474183851</v>
      </c>
      <c r="T312" s="178">
        <f t="shared" ref="T312:T316" si="452">MIN(Vout, S312)</f>
        <v>24</v>
      </c>
      <c r="U312" s="223">
        <f t="shared" si="426"/>
        <v>0.57572913727618014</v>
      </c>
      <c r="V312" s="223">
        <f t="shared" ref="V312:V316" si="453">L*U312/I312*1000000</f>
        <v>1.8039512967986977</v>
      </c>
      <c r="W312" s="223">
        <f t="shared" si="428"/>
        <v>1.1158461629682666</v>
      </c>
      <c r="X312" s="203">
        <f t="shared" si="429"/>
        <v>350</v>
      </c>
      <c r="Y312" s="454">
        <f t="shared" si="415"/>
        <v>342.48950955653356</v>
      </c>
      <c r="AA312" s="223">
        <f t="shared" si="430"/>
        <v>0.56337482818035733</v>
      </c>
      <c r="AB312" s="179">
        <f t="shared" ref="AB312:AB316" si="454">L*AA312/J312*1000000</f>
        <v>1.0919017288444037</v>
      </c>
      <c r="AC312" s="179">
        <f t="shared" ref="AC312:AC316" si="455">0.5*AB312*AA312*Nps*X312/1000</f>
        <v>0.10765124105357142</v>
      </c>
      <c r="AD312" s="179"/>
      <c r="AE312" s="179">
        <f t="shared" si="433"/>
        <v>0.56206185567010303</v>
      </c>
      <c r="AF312" s="563">
        <f t="shared" ref="AF312:AF316" si="456">MAX(10000,F312/(0.5*AE312/1000000*Isw_min*Nps))/1000</f>
        <v>1295.7219116047263</v>
      </c>
      <c r="AG312" s="546">
        <f t="shared" si="435"/>
        <v>2.8524639175257726E-2</v>
      </c>
      <c r="AI312" s="179">
        <f t="shared" si="436"/>
        <v>0.55798159919982371</v>
      </c>
      <c r="AJ312" s="179">
        <f t="shared" ref="AJ312:AJ316" si="457">MAX(IF(F312&gt;AC312,U312,AI312),Isw_min)</f>
        <v>0.55798159919982371</v>
      </c>
      <c r="AK312" s="179">
        <f t="shared" ref="AK312:AK316" si="458">IF(F312&gt;AG312, (AJ312-Isw_min)/1.08*0.8+1.2, AF312*0.2/350+1)</f>
        <v>1.3985048882961657</v>
      </c>
      <c r="AM312" s="563">
        <f t="shared" si="439"/>
        <v>105.6</v>
      </c>
      <c r="AN312" s="472">
        <f t="shared" si="440"/>
        <v>342.48950955653356</v>
      </c>
      <c r="AP312">
        <f t="shared" si="441"/>
        <v>105.6</v>
      </c>
      <c r="AQ312">
        <f t="shared" si="442"/>
        <v>342.48950955653356</v>
      </c>
      <c r="AS312" s="6">
        <f t="shared" si="414"/>
        <v>2.919797459766964</v>
      </c>
      <c r="AT312" s="6">
        <f t="shared" si="443"/>
        <v>1.7483423441594474</v>
      </c>
      <c r="AU312" s="6">
        <f t="shared" si="447"/>
        <v>1.1714551156075166</v>
      </c>
      <c r="AV312" s="6"/>
      <c r="AW312" s="179">
        <f t="shared" si="448"/>
        <v>0.59878891198808937</v>
      </c>
      <c r="AX312" s="179"/>
      <c r="CD312" s="581">
        <f t="shared" si="444"/>
        <v>-50</v>
      </c>
      <c r="CE312">
        <f t="shared" si="445"/>
        <v>-50</v>
      </c>
    </row>
    <row r="313" spans="5:83" x14ac:dyDescent="0.2">
      <c r="E313" s="176">
        <v>97</v>
      </c>
      <c r="F313" s="223">
        <f t="shared" ref="F313:F316" si="459">IF(PLOT_TYPE=1, E313/100*Iout_max, min_I*EXP(N313*rr/100))</f>
        <v>0.1067</v>
      </c>
      <c r="G313" s="223"/>
      <c r="H313" s="223">
        <f t="shared" si="449"/>
        <v>2.5608</v>
      </c>
      <c r="I313" s="559">
        <f t="shared" si="417"/>
        <v>15</v>
      </c>
      <c r="J313" s="454">
        <f t="shared" si="418"/>
        <v>24.25</v>
      </c>
      <c r="K313" s="454">
        <f t="shared" si="419"/>
        <v>39.25</v>
      </c>
      <c r="L313" s="454"/>
      <c r="M313" s="223">
        <f t="shared" si="420"/>
        <v>0.61783439490445857</v>
      </c>
      <c r="N313" s="178">
        <f t="shared" si="450"/>
        <v>6.3830015923566883</v>
      </c>
      <c r="O313" s="178">
        <f t="shared" si="413"/>
        <v>2.5608</v>
      </c>
      <c r="P313" s="223">
        <f t="shared" si="451"/>
        <v>0.26595839968152868</v>
      </c>
      <c r="Q313" s="223">
        <f t="shared" si="423"/>
        <v>24</v>
      </c>
      <c r="R313" s="223"/>
      <c r="S313" s="178">
        <f t="shared" si="424"/>
        <v>81.870875265556947</v>
      </c>
      <c r="T313" s="178">
        <f t="shared" si="452"/>
        <v>24</v>
      </c>
      <c r="U313" s="223">
        <f t="shared" si="426"/>
        <v>0.58172631578947376</v>
      </c>
      <c r="V313" s="223">
        <f t="shared" si="453"/>
        <v>1.8227424561403511</v>
      </c>
      <c r="W313" s="223">
        <f t="shared" si="428"/>
        <v>1.1274695604991862</v>
      </c>
      <c r="X313" s="203">
        <f t="shared" si="429"/>
        <v>350</v>
      </c>
      <c r="Y313" s="454">
        <f t="shared" si="415"/>
        <v>338.95868987038364</v>
      </c>
      <c r="AA313" s="223">
        <f t="shared" si="430"/>
        <v>0.56337482818035733</v>
      </c>
      <c r="AB313" s="179">
        <f t="shared" si="454"/>
        <v>1.0919017288444037</v>
      </c>
      <c r="AC313" s="179">
        <f t="shared" si="455"/>
        <v>0.10765124105357142</v>
      </c>
      <c r="AD313" s="179"/>
      <c r="AE313" s="179">
        <f t="shared" si="433"/>
        <v>0.56206185567010303</v>
      </c>
      <c r="AF313" s="563">
        <f t="shared" si="456"/>
        <v>1309.2190148506088</v>
      </c>
      <c r="AG313" s="546">
        <f t="shared" si="435"/>
        <v>2.8524639175257726E-2</v>
      </c>
      <c r="AI313" s="179">
        <f t="shared" si="436"/>
        <v>0.5608802244149973</v>
      </c>
      <c r="AJ313" s="179">
        <f t="shared" si="457"/>
        <v>0.5608802244149973</v>
      </c>
      <c r="AK313" s="179">
        <f t="shared" si="458"/>
        <v>1.4006520180851831</v>
      </c>
      <c r="AM313" s="563">
        <f t="shared" si="439"/>
        <v>106.7</v>
      </c>
      <c r="AN313" s="472">
        <f t="shared" si="440"/>
        <v>338.95868987038364</v>
      </c>
      <c r="AP313">
        <f t="shared" si="441"/>
        <v>106.7</v>
      </c>
      <c r="AQ313">
        <f t="shared" si="442"/>
        <v>338.95868987038364</v>
      </c>
      <c r="AS313" s="6">
        <f t="shared" si="414"/>
        <v>2.9502120166395374</v>
      </c>
      <c r="AT313" s="6">
        <f t="shared" si="443"/>
        <v>1.7574247031669914</v>
      </c>
      <c r="AU313" s="6">
        <f t="shared" si="447"/>
        <v>1.192787313472546</v>
      </c>
      <c r="AV313" s="6"/>
      <c r="AW313" s="179">
        <f t="shared" si="448"/>
        <v>0.59569437493133126</v>
      </c>
      <c r="AX313" s="179"/>
      <c r="CD313" s="581">
        <f t="shared" si="444"/>
        <v>-50</v>
      </c>
      <c r="CE313">
        <f t="shared" si="445"/>
        <v>-50</v>
      </c>
    </row>
    <row r="314" spans="5:83" x14ac:dyDescent="0.2">
      <c r="E314" s="176">
        <v>98</v>
      </c>
      <c r="F314" s="223">
        <f t="shared" si="459"/>
        <v>0.10779999999999999</v>
      </c>
      <c r="G314" s="223"/>
      <c r="H314" s="223">
        <f t="shared" si="449"/>
        <v>2.5871999999999997</v>
      </c>
      <c r="I314" s="559">
        <f t="shared" si="417"/>
        <v>15</v>
      </c>
      <c r="J314" s="454">
        <f t="shared" si="418"/>
        <v>24.25</v>
      </c>
      <c r="K314" s="454">
        <f t="shared" si="419"/>
        <v>39.25</v>
      </c>
      <c r="L314" s="454"/>
      <c r="M314" s="223">
        <f t="shared" si="420"/>
        <v>0.61783439490445857</v>
      </c>
      <c r="N314" s="178">
        <f t="shared" si="450"/>
        <v>6.3830015923566883</v>
      </c>
      <c r="O314" s="178">
        <f t="shared" si="413"/>
        <v>2.5871999999999997</v>
      </c>
      <c r="P314" s="223">
        <f t="shared" si="451"/>
        <v>0.26595839968152868</v>
      </c>
      <c r="Q314" s="223">
        <f t="shared" si="423"/>
        <v>24</v>
      </c>
      <c r="R314" s="223"/>
      <c r="S314" s="178">
        <f t="shared" si="424"/>
        <v>80.883418680789163</v>
      </c>
      <c r="T314" s="178">
        <f t="shared" si="452"/>
        <v>24</v>
      </c>
      <c r="U314" s="223">
        <f t="shared" si="426"/>
        <v>0.58772349430276727</v>
      </c>
      <c r="V314" s="223">
        <f t="shared" si="453"/>
        <v>1.8415336154820041</v>
      </c>
      <c r="W314" s="223">
        <f t="shared" si="428"/>
        <v>1.1390929580301055</v>
      </c>
      <c r="X314" s="203">
        <f t="shared" si="429"/>
        <v>350</v>
      </c>
      <c r="Y314" s="454">
        <f t="shared" si="415"/>
        <v>335.49992772884912</v>
      </c>
      <c r="AA314" s="223">
        <f t="shared" si="430"/>
        <v>0.56337482818035733</v>
      </c>
      <c r="AB314" s="179">
        <f t="shared" si="454"/>
        <v>1.0919017288444037</v>
      </c>
      <c r="AC314" s="179">
        <f t="shared" si="455"/>
        <v>0.10765124105357142</v>
      </c>
      <c r="AD314" s="179"/>
      <c r="AE314" s="179">
        <f t="shared" si="433"/>
        <v>0.56206185567010303</v>
      </c>
      <c r="AF314" s="563">
        <f t="shared" si="456"/>
        <v>1322.7161180964911</v>
      </c>
      <c r="AG314" s="546">
        <f t="shared" si="435"/>
        <v>2.8524639175257726E-2</v>
      </c>
      <c r="AI314" s="179">
        <f t="shared" si="436"/>
        <v>0.56376394637653315</v>
      </c>
      <c r="AJ314" s="179">
        <f t="shared" si="457"/>
        <v>0.58772349430276727</v>
      </c>
      <c r="AK314" s="179">
        <f t="shared" si="458"/>
        <v>1.4205359217057536</v>
      </c>
      <c r="AM314" s="563">
        <f t="shared" si="439"/>
        <v>107.8</v>
      </c>
      <c r="AN314" s="472">
        <f t="shared" si="440"/>
        <v>335.49992772884912</v>
      </c>
      <c r="AP314">
        <f t="shared" si="441"/>
        <v>107.8</v>
      </c>
      <c r="AQ314">
        <f t="shared" si="442"/>
        <v>335.49992772884912</v>
      </c>
      <c r="AS314" s="6">
        <f t="shared" si="414"/>
        <v>2.9806265735121098</v>
      </c>
      <c r="AT314" s="6">
        <f t="shared" si="443"/>
        <v>1.8415336154820041</v>
      </c>
      <c r="AU314" s="6">
        <f t="shared" si="447"/>
        <v>1.1390929580301057</v>
      </c>
      <c r="AV314" s="6"/>
      <c r="AW314" s="179">
        <f t="shared" si="448"/>
        <v>0.61783439490445857</v>
      </c>
      <c r="AX314" s="179"/>
      <c r="CD314" s="581">
        <f t="shared" si="444"/>
        <v>-50</v>
      </c>
      <c r="CE314">
        <f t="shared" si="445"/>
        <v>-50</v>
      </c>
    </row>
    <row r="315" spans="5:83" x14ac:dyDescent="0.2">
      <c r="E315" s="176">
        <v>99</v>
      </c>
      <c r="F315" s="223">
        <f t="shared" si="459"/>
        <v>0.1089</v>
      </c>
      <c r="G315" s="223"/>
      <c r="H315" s="223">
        <f t="shared" si="449"/>
        <v>2.6135999999999999</v>
      </c>
      <c r="I315" s="559">
        <f t="shared" si="417"/>
        <v>15</v>
      </c>
      <c r="J315" s="454">
        <f t="shared" si="418"/>
        <v>24.25</v>
      </c>
      <c r="K315" s="454">
        <f t="shared" si="419"/>
        <v>39.25</v>
      </c>
      <c r="L315" s="454"/>
      <c r="M315" s="223">
        <f t="shared" si="420"/>
        <v>0.61783439490445857</v>
      </c>
      <c r="N315" s="178">
        <f t="shared" si="450"/>
        <v>6.3830015923566883</v>
      </c>
      <c r="O315" s="178">
        <f t="shared" si="413"/>
        <v>2.6135999999999999</v>
      </c>
      <c r="P315" s="223">
        <f t="shared" si="451"/>
        <v>0.26595839968152868</v>
      </c>
      <c r="Q315" s="223">
        <f t="shared" si="423"/>
        <v>24</v>
      </c>
      <c r="R315" s="223"/>
      <c r="S315" s="178">
        <f t="shared" si="424"/>
        <v>79.91592398564832</v>
      </c>
      <c r="T315" s="178">
        <f t="shared" si="452"/>
        <v>24</v>
      </c>
      <c r="U315" s="223">
        <f t="shared" si="426"/>
        <v>0.59372067281606089</v>
      </c>
      <c r="V315" s="223">
        <f t="shared" si="453"/>
        <v>1.8603247748236575</v>
      </c>
      <c r="W315" s="223">
        <f t="shared" si="428"/>
        <v>1.1507163555610254</v>
      </c>
      <c r="X315" s="203">
        <f t="shared" si="429"/>
        <v>350</v>
      </c>
      <c r="Y315" s="454">
        <f t="shared" si="415"/>
        <v>332.11103956997181</v>
      </c>
      <c r="AA315" s="223">
        <f t="shared" si="430"/>
        <v>0.56337482818035733</v>
      </c>
      <c r="AB315" s="179">
        <f t="shared" si="454"/>
        <v>1.0919017288444037</v>
      </c>
      <c r="AC315" s="179">
        <f t="shared" si="455"/>
        <v>0.10765124105357142</v>
      </c>
      <c r="AD315" s="179"/>
      <c r="AE315" s="179">
        <f t="shared" si="433"/>
        <v>0.56206185567010303</v>
      </c>
      <c r="AF315" s="563">
        <f t="shared" si="456"/>
        <v>1336.2132213423738</v>
      </c>
      <c r="AG315" s="546">
        <f t="shared" si="435"/>
        <v>2.8524639175257726E-2</v>
      </c>
      <c r="AI315" s="179">
        <f t="shared" si="436"/>
        <v>0.56663299262244471</v>
      </c>
      <c r="AJ315" s="179">
        <f t="shared" si="457"/>
        <v>0.59372067281606089</v>
      </c>
      <c r="AK315" s="179">
        <f t="shared" si="458"/>
        <v>1.4249782761600451</v>
      </c>
      <c r="AM315" s="563">
        <f t="shared" si="439"/>
        <v>108.89999999999999</v>
      </c>
      <c r="AN315" s="472">
        <f t="shared" si="440"/>
        <v>332.11103956997181</v>
      </c>
      <c r="AP315">
        <f t="shared" si="441"/>
        <v>108.89999999999999</v>
      </c>
      <c r="AQ315">
        <f t="shared" si="442"/>
        <v>332.11103956997181</v>
      </c>
      <c r="AS315" s="6">
        <f t="shared" si="414"/>
        <v>3.0110411303846827</v>
      </c>
      <c r="AT315" s="6">
        <f t="shared" si="443"/>
        <v>1.8603247748236575</v>
      </c>
      <c r="AU315" s="6">
        <f t="shared" si="447"/>
        <v>1.1507163555610251</v>
      </c>
      <c r="AV315" s="6"/>
      <c r="AW315" s="179">
        <f t="shared" si="448"/>
        <v>0.61783439490445868</v>
      </c>
      <c r="AX315" s="179"/>
      <c r="CD315" s="581">
        <f t="shared" si="444"/>
        <v>-50</v>
      </c>
      <c r="CE315">
        <f t="shared" si="445"/>
        <v>-50</v>
      </c>
    </row>
    <row r="316" spans="5:83" x14ac:dyDescent="0.2">
      <c r="E316" s="176">
        <v>100</v>
      </c>
      <c r="F316" s="223">
        <f t="shared" si="459"/>
        <v>0.11</v>
      </c>
      <c r="G316" s="223"/>
      <c r="H316" s="223">
        <f t="shared" si="449"/>
        <v>2.64</v>
      </c>
      <c r="I316" s="559">
        <f t="shared" si="417"/>
        <v>15</v>
      </c>
      <c r="J316" s="454">
        <f t="shared" si="418"/>
        <v>24.25</v>
      </c>
      <c r="K316" s="454">
        <f t="shared" si="419"/>
        <v>39.25</v>
      </c>
      <c r="L316" s="454"/>
      <c r="M316" s="223">
        <f t="shared" si="420"/>
        <v>0.61783439490445857</v>
      </c>
      <c r="N316" s="178">
        <f t="shared" si="450"/>
        <v>6.3830015923566883</v>
      </c>
      <c r="O316" s="178">
        <f t="shared" si="413"/>
        <v>2.64</v>
      </c>
      <c r="P316" s="223">
        <f t="shared" si="451"/>
        <v>0.26595839968152868</v>
      </c>
      <c r="Q316" s="223">
        <f t="shared" si="423"/>
        <v>24</v>
      </c>
      <c r="R316" s="223"/>
      <c r="S316" s="178">
        <f t="shared" si="424"/>
        <v>78.96779239578575</v>
      </c>
      <c r="T316" s="178">
        <f t="shared" si="452"/>
        <v>24</v>
      </c>
      <c r="U316" s="223">
        <f t="shared" si="426"/>
        <v>0.5997178513293544</v>
      </c>
      <c r="V316" s="223">
        <f t="shared" si="453"/>
        <v>1.8791159341653103</v>
      </c>
      <c r="W316" s="223">
        <f t="shared" si="428"/>
        <v>1.1623397530919446</v>
      </c>
      <c r="X316" s="203">
        <f t="shared" si="429"/>
        <v>350</v>
      </c>
      <c r="Y316" s="454">
        <f t="shared" si="415"/>
        <v>328.78992917427212</v>
      </c>
      <c r="AA316" s="223">
        <f t="shared" si="430"/>
        <v>0.56337482818035733</v>
      </c>
      <c r="AB316" s="179">
        <f t="shared" si="454"/>
        <v>1.0919017288444037</v>
      </c>
      <c r="AC316" s="179">
        <f t="shared" si="455"/>
        <v>0.10765124105357142</v>
      </c>
      <c r="AD316" s="179"/>
      <c r="AE316" s="179">
        <f t="shared" si="433"/>
        <v>0.56206185567010303</v>
      </c>
      <c r="AF316" s="563">
        <f t="shared" si="456"/>
        <v>1349.7103245882565</v>
      </c>
      <c r="AG316" s="546">
        <f t="shared" si="435"/>
        <v>2.8524639175257726E-2</v>
      </c>
      <c r="AI316" s="179">
        <f t="shared" si="436"/>
        <v>0.56948758495905105</v>
      </c>
      <c r="AJ316" s="179">
        <f t="shared" si="457"/>
        <v>0.5997178513293544</v>
      </c>
      <c r="AK316" s="179">
        <f t="shared" si="458"/>
        <v>1.4294206306143367</v>
      </c>
      <c r="AM316" s="563">
        <f t="shared" si="439"/>
        <v>110</v>
      </c>
      <c r="AN316" s="472">
        <f t="shared" si="440"/>
        <v>328.78992917427212</v>
      </c>
      <c r="AP316">
        <f t="shared" si="441"/>
        <v>110</v>
      </c>
      <c r="AQ316">
        <f t="shared" si="442"/>
        <v>328.78992917427212</v>
      </c>
      <c r="AS316" s="6">
        <f t="shared" si="414"/>
        <v>3.0414556872572551</v>
      </c>
      <c r="AT316" s="6">
        <f t="shared" si="443"/>
        <v>1.8791159341653103</v>
      </c>
      <c r="AU316" s="6">
        <f t="shared" si="447"/>
        <v>1.1623397530919448</v>
      </c>
      <c r="AV316" s="6"/>
      <c r="AW316" s="179">
        <f t="shared" si="448"/>
        <v>0.61783439490445857</v>
      </c>
      <c r="AX316" s="179"/>
      <c r="CD316" s="581">
        <f t="shared" si="444"/>
        <v>-50</v>
      </c>
      <c r="CE316">
        <f t="shared" si="445"/>
        <v>-50</v>
      </c>
    </row>
    <row r="317" spans="5:83" x14ac:dyDescent="0.2">
      <c r="E317" s="176"/>
      <c r="F317" s="223"/>
      <c r="G317" s="223"/>
      <c r="CD317" s="581"/>
    </row>
    <row r="318" spans="5:83" x14ac:dyDescent="0.2">
      <c r="CD318" s="581"/>
    </row>
    <row r="319" spans="5:83" x14ac:dyDescent="0.2">
      <c r="CD319" s="581"/>
    </row>
    <row r="320" spans="5:83" x14ac:dyDescent="0.2">
      <c r="CD320" s="581"/>
    </row>
    <row r="321" spans="82:82" x14ac:dyDescent="0.2">
      <c r="CD321" s="581"/>
    </row>
  </sheetData>
  <mergeCells count="1">
    <mergeCell ref="M3:AA3"/>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7030A0"/>
  </sheetPr>
  <dimension ref="B1:CE317"/>
  <sheetViews>
    <sheetView topLeftCell="W1" zoomScaleNormal="100" workbookViewId="0">
      <selection activeCell="BJ5" sqref="BJ5"/>
    </sheetView>
  </sheetViews>
  <sheetFormatPr defaultRowHeight="12.75" x14ac:dyDescent="0.2"/>
  <cols>
    <col min="1" max="1" width="2.85546875" customWidth="1"/>
    <col min="2" max="2" width="3.5703125" customWidth="1"/>
    <col min="3" max="3" width="2.85546875" customWidth="1"/>
    <col min="4" max="4" width="3.7109375" customWidth="1"/>
    <col min="5" max="5" width="6.140625" customWidth="1"/>
    <col min="6" max="7" width="7.7109375" customWidth="1"/>
    <col min="8" max="9" width="7.85546875" customWidth="1"/>
    <col min="10" max="10" width="6.28515625" customWidth="1"/>
    <col min="11" max="11" width="9.5703125" customWidth="1"/>
    <col min="12" max="12" width="9.28515625" customWidth="1"/>
    <col min="13" max="13" width="1.85546875" customWidth="1"/>
    <col min="14" max="14" width="8.42578125" customWidth="1"/>
    <col min="15" max="16" width="9.5703125" customWidth="1"/>
    <col min="17" max="18" width="8.85546875" customWidth="1"/>
    <col min="19" max="19" width="8.5703125" customWidth="1"/>
    <col min="20" max="20" width="7.5703125" customWidth="1"/>
    <col min="21" max="21" width="9" customWidth="1"/>
    <col min="22" max="22" width="8.85546875" customWidth="1"/>
    <col min="23" max="23" width="10" customWidth="1"/>
    <col min="24" max="24" width="9.5703125" customWidth="1"/>
    <col min="25" max="25" width="1.85546875" customWidth="1"/>
    <col min="26" max="26" width="9.85546875" customWidth="1"/>
    <col min="27" max="27" width="10.42578125" customWidth="1"/>
    <col min="28" max="28" width="10.140625" customWidth="1"/>
    <col min="29" max="29" width="2" customWidth="1"/>
    <col min="30" max="30" width="9.140625" customWidth="1"/>
    <col min="31" max="31" width="9.42578125" customWidth="1"/>
    <col min="32" max="32" width="10.42578125" customWidth="1"/>
    <col min="33" max="33" width="2.140625" customWidth="1"/>
    <col min="35" max="35" width="8" customWidth="1"/>
    <col min="37" max="37" width="2.28515625" customWidth="1"/>
    <col min="38" max="38" width="6.5703125" customWidth="1"/>
    <col min="39" max="39" width="7.5703125" customWidth="1"/>
    <col min="40" max="40" width="2" customWidth="1"/>
    <col min="41" max="41" width="6.42578125" customWidth="1"/>
    <col min="42" max="42" width="7.5703125" customWidth="1"/>
    <col min="43" max="43" width="2.140625" customWidth="1"/>
    <col min="44" max="46" width="7" customWidth="1"/>
    <col min="47" max="47" width="8.42578125" customWidth="1"/>
    <col min="48" max="48" width="2.140625" customWidth="1"/>
    <col min="49" max="50" width="9.42578125" customWidth="1"/>
    <col min="51" max="51" width="9.85546875" customWidth="1"/>
    <col min="52" max="52" width="2" customWidth="1"/>
    <col min="56" max="56" width="2.140625" customWidth="1"/>
    <col min="57" max="57" width="9" customWidth="1"/>
    <col min="58" max="59" width="8.140625" customWidth="1"/>
    <col min="60" max="60" width="8.7109375" customWidth="1"/>
    <col min="61" max="63" width="7.5703125" customWidth="1"/>
    <col min="64" max="65" width="10.28515625" customWidth="1"/>
    <col min="66" max="66" width="9.42578125" customWidth="1"/>
    <col min="67" max="67" width="9.5703125" customWidth="1"/>
    <col min="68" max="68" width="10" customWidth="1"/>
    <col min="69" max="69" width="8.7109375" customWidth="1"/>
    <col min="72" max="73" width="9.85546875" customWidth="1"/>
    <col min="74" max="74" width="12.140625" customWidth="1"/>
    <col min="75" max="75" width="9.140625" customWidth="1"/>
    <col min="77" max="77" width="7.7109375" customWidth="1"/>
    <col min="78" max="78" width="10.42578125" customWidth="1"/>
    <col min="79" max="79" width="12.42578125" bestFit="1" customWidth="1"/>
    <col min="80" max="80" width="6.5703125" customWidth="1"/>
    <col min="81" max="81" width="5" customWidth="1"/>
    <col min="82" max="82" width="9.5703125" customWidth="1"/>
  </cols>
  <sheetData>
    <row r="1" spans="2:83" x14ac:dyDescent="0.2">
      <c r="B1" s="456" t="s">
        <v>530</v>
      </c>
    </row>
    <row r="2" spans="2:83" ht="13.5" thickBot="1" x14ac:dyDescent="0.25">
      <c r="AW2">
        <f>Vout_ripple</f>
        <v>240</v>
      </c>
    </row>
    <row r="3" spans="2:83" x14ac:dyDescent="0.2">
      <c r="E3" s="226" t="s">
        <v>432</v>
      </c>
      <c r="F3" s="558"/>
      <c r="G3" s="558"/>
      <c r="H3" s="558"/>
      <c r="I3" s="558"/>
      <c r="J3" s="227"/>
      <c r="K3" s="228"/>
      <c r="L3" s="542"/>
      <c r="M3" s="542"/>
      <c r="N3" s="689" t="s">
        <v>190</v>
      </c>
      <c r="O3" s="690"/>
      <c r="P3" s="691"/>
      <c r="Q3" s="689"/>
      <c r="R3" s="691"/>
      <c r="S3" s="689"/>
      <c r="T3" s="689"/>
      <c r="U3" s="690"/>
      <c r="V3" s="690"/>
      <c r="W3" s="689"/>
      <c r="X3" s="690"/>
      <c r="Y3" s="689"/>
      <c r="Z3" s="692"/>
      <c r="AA3" s="551"/>
      <c r="AB3" s="551"/>
      <c r="AC3" s="551"/>
      <c r="AD3" s="551"/>
      <c r="AE3" s="551"/>
      <c r="AF3" s="551"/>
      <c r="AG3" s="551"/>
      <c r="AH3" s="551"/>
      <c r="AI3" s="551"/>
      <c r="AJ3" s="551"/>
      <c r="AK3" s="551"/>
      <c r="AL3" s="551"/>
      <c r="AM3" s="551"/>
      <c r="AN3" s="551"/>
      <c r="AO3" s="551"/>
      <c r="AP3" s="551"/>
      <c r="AQ3" s="551"/>
      <c r="AR3" s="551" t="s">
        <v>471</v>
      </c>
      <c r="AS3" s="551"/>
      <c r="AT3" s="551"/>
      <c r="AU3" s="551"/>
      <c r="AV3" s="551"/>
      <c r="AW3" s="551" t="s">
        <v>481</v>
      </c>
      <c r="AX3" s="551" t="s">
        <v>481</v>
      </c>
      <c r="AY3" s="551"/>
      <c r="AZ3" s="551"/>
      <c r="BA3" s="577" t="s">
        <v>482</v>
      </c>
      <c r="BB3" s="551"/>
      <c r="BC3" s="551"/>
      <c r="BD3" s="551"/>
      <c r="BE3" s="577" t="s">
        <v>506</v>
      </c>
      <c r="BF3" s="551"/>
      <c r="BG3" s="551"/>
      <c r="BH3" s="551"/>
      <c r="BI3" s="551"/>
      <c r="BJ3" s="551"/>
      <c r="BK3" s="551"/>
      <c r="BL3" s="577" t="s">
        <v>502</v>
      </c>
      <c r="BM3" s="551"/>
      <c r="BN3" s="551"/>
      <c r="BO3" s="551"/>
      <c r="BP3" s="551"/>
      <c r="BQ3" s="578" t="s">
        <v>503</v>
      </c>
      <c r="BR3" s="551"/>
      <c r="BS3" s="551"/>
      <c r="BT3" s="551"/>
      <c r="BU3" s="551"/>
      <c r="BV3" s="551"/>
      <c r="BW3" s="551"/>
      <c r="BX3" s="577"/>
      <c r="BY3" s="551"/>
      <c r="BZ3" s="551"/>
      <c r="CA3" s="551"/>
      <c r="CB3" s="551"/>
    </row>
    <row r="4" spans="2:83" ht="45" customHeight="1" thickBot="1" x14ac:dyDescent="0.25">
      <c r="E4" s="247" t="s">
        <v>25</v>
      </c>
      <c r="F4" s="625" t="s">
        <v>599</v>
      </c>
      <c r="G4" s="455" t="s">
        <v>598</v>
      </c>
      <c r="H4" s="626" t="s">
        <v>600</v>
      </c>
      <c r="I4" s="627" t="s">
        <v>601</v>
      </c>
      <c r="J4" s="248" t="s">
        <v>423</v>
      </c>
      <c r="K4" s="249" t="s">
        <v>605</v>
      </c>
      <c r="L4" s="628" t="s">
        <v>424</v>
      </c>
      <c r="M4" s="629"/>
      <c r="N4" s="250" t="s">
        <v>48</v>
      </c>
      <c r="O4" s="629" t="s">
        <v>609</v>
      </c>
      <c r="P4" s="629" t="s">
        <v>625</v>
      </c>
      <c r="Q4" s="629" t="s">
        <v>602</v>
      </c>
      <c r="R4" s="629" t="s">
        <v>603</v>
      </c>
      <c r="S4" s="629" t="s">
        <v>604</v>
      </c>
      <c r="T4" s="629" t="s">
        <v>425</v>
      </c>
      <c r="U4" s="629" t="s">
        <v>477</v>
      </c>
      <c r="V4" s="629" t="s">
        <v>476</v>
      </c>
      <c r="W4" s="630" t="s">
        <v>431</v>
      </c>
      <c r="X4" s="631" t="s">
        <v>436</v>
      </c>
      <c r="Z4" s="251" t="s">
        <v>428</v>
      </c>
      <c r="AA4" s="251" t="s">
        <v>475</v>
      </c>
      <c r="AB4" s="251" t="s">
        <v>606</v>
      </c>
      <c r="AC4" s="562"/>
      <c r="AD4" s="251" t="s">
        <v>474</v>
      </c>
      <c r="AE4" s="630" t="s">
        <v>437</v>
      </c>
      <c r="AF4" s="251" t="s">
        <v>607</v>
      </c>
      <c r="AG4" s="562"/>
      <c r="AH4" s="251" t="s">
        <v>440</v>
      </c>
      <c r="AI4" s="566" t="s">
        <v>441</v>
      </c>
      <c r="AJ4" s="566" t="s">
        <v>442</v>
      </c>
      <c r="AL4" s="561" t="s">
        <v>276</v>
      </c>
      <c r="AM4" s="561" t="s">
        <v>443</v>
      </c>
      <c r="AO4" s="251" t="s">
        <v>276</v>
      </c>
      <c r="AP4" s="251" t="s">
        <v>443</v>
      </c>
      <c r="AQ4" s="567"/>
      <c r="AR4" s="251" t="s">
        <v>478</v>
      </c>
      <c r="AS4" s="251" t="s">
        <v>472</v>
      </c>
      <c r="AT4" s="251" t="s">
        <v>473</v>
      </c>
      <c r="AU4" s="251" t="s">
        <v>48</v>
      </c>
      <c r="AV4" s="562"/>
      <c r="AW4" s="251" t="s">
        <v>610</v>
      </c>
      <c r="AX4" s="251" t="s">
        <v>611</v>
      </c>
      <c r="AY4" s="251" t="s">
        <v>529</v>
      </c>
      <c r="AZ4" s="562"/>
      <c r="BA4" s="576" t="s">
        <v>467</v>
      </c>
      <c r="BB4" s="251" t="s">
        <v>618</v>
      </c>
      <c r="BC4" s="251" t="s">
        <v>617</v>
      </c>
      <c r="BD4" s="562"/>
      <c r="BE4" s="576" t="s">
        <v>485</v>
      </c>
      <c r="BF4" s="251" t="s">
        <v>486</v>
      </c>
      <c r="BG4" s="251" t="s">
        <v>484</v>
      </c>
      <c r="BH4" s="251" t="s">
        <v>480</v>
      </c>
      <c r="BI4" s="251" t="s">
        <v>489</v>
      </c>
      <c r="BJ4" s="251" t="s">
        <v>696</v>
      </c>
      <c r="BK4" s="251" t="s">
        <v>504</v>
      </c>
      <c r="BL4" s="576" t="s">
        <v>620</v>
      </c>
      <c r="BM4" s="251" t="s">
        <v>619</v>
      </c>
      <c r="BN4" s="251" t="s">
        <v>488</v>
      </c>
      <c r="BO4" s="251" t="s">
        <v>496</v>
      </c>
      <c r="BP4" s="251" t="s">
        <v>500</v>
      </c>
      <c r="BQ4" s="576" t="s">
        <v>469</v>
      </c>
      <c r="BR4" s="251" t="s">
        <v>622</v>
      </c>
      <c r="BS4" s="251" t="s">
        <v>621</v>
      </c>
      <c r="BT4" s="251" t="s">
        <v>479</v>
      </c>
      <c r="BU4" s="251" t="s">
        <v>702</v>
      </c>
      <c r="BV4" s="251" t="s">
        <v>497</v>
      </c>
      <c r="BW4" s="251" t="s">
        <v>499</v>
      </c>
      <c r="BX4" s="576" t="s">
        <v>495</v>
      </c>
      <c r="BY4" s="251" t="s">
        <v>224</v>
      </c>
      <c r="BZ4" s="251" t="s">
        <v>47</v>
      </c>
      <c r="CA4" s="251" t="s">
        <v>498</v>
      </c>
      <c r="CB4" s="251" t="s">
        <v>623</v>
      </c>
      <c r="CD4" s="589" t="s">
        <v>511</v>
      </c>
    </row>
    <row r="5" spans="2:83" x14ac:dyDescent="0.2">
      <c r="E5" s="176">
        <v>0.1</v>
      </c>
      <c r="F5" s="223">
        <v>1.0000000000000001E-9</v>
      </c>
      <c r="G5" s="223">
        <v>1.0000000000000001E-9</v>
      </c>
      <c r="H5" s="223">
        <f t="shared" ref="H5:H36" si="0">F5*Vout</f>
        <v>2.4000000000000003E-8</v>
      </c>
      <c r="I5" s="223">
        <f>G5*Vout2</f>
        <v>1.2000000000000002E-8</v>
      </c>
      <c r="J5" s="559">
        <f t="shared" ref="J5:J68" si="1">Vin</f>
        <v>12</v>
      </c>
      <c r="K5" s="454">
        <f t="shared" ref="K5:K68" si="2">(S5+Vfwd1)*Nps</f>
        <v>24.25</v>
      </c>
      <c r="L5" s="454">
        <f t="shared" ref="L5:L68" si="3">(Vout+Vfwd1)*Nps+J5</f>
        <v>36.25</v>
      </c>
      <c r="M5" s="454"/>
      <c r="N5" s="223">
        <f t="shared" ref="N5:N68" si="4">(Vout+Vfwd1)*Nps/((Vout+Vfwd1)*Nps+J5)</f>
        <v>0.66896551724137931</v>
      </c>
      <c r="O5" s="178">
        <f>N5*J5*Isw_max*0.5*Efficiency*(Pout/Pout_total)</f>
        <v>5.528999999999999</v>
      </c>
      <c r="P5" s="178">
        <f t="shared" ref="P5:P36" si="5">N5*J5*Isw_max*0.5*Efficiency*(Pout2/Pout_total)</f>
        <v>5.0263636363636364</v>
      </c>
      <c r="Q5" s="223">
        <f t="shared" ref="Q5:Q68" si="6">O5/Vout</f>
        <v>0.23037499999999997</v>
      </c>
      <c r="R5" s="223">
        <f t="shared" ref="R5:R36" si="7">O5/Vout2</f>
        <v>0.46074999999999994</v>
      </c>
      <c r="S5" s="454">
        <f t="shared" ref="S5:S36" si="8">MIN(Vout,O5/F5)</f>
        <v>24</v>
      </c>
      <c r="T5" s="223">
        <f t="shared" ref="T5:T36" si="9">MIN(2*(Vout*F5+Vout2*G5)/(Efficiency*J5*N5), Isw_max)</f>
        <v>9.4411285946825848E-9</v>
      </c>
      <c r="U5" s="223">
        <f t="shared" ref="U5:U68" si="10">L*T5/J5*1000000</f>
        <v>3.6977753662506786E-8</v>
      </c>
      <c r="V5" s="223">
        <f t="shared" ref="V5:V68" si="11">L*T5/K5*1000000</f>
        <v>1.8298269853611607E-8</v>
      </c>
      <c r="W5" s="203">
        <f t="shared" ref="W5:W68" si="12">IF(1/((350000*L)*(1/J5+1/K5))&gt;Isw_min, 350, 0.001/((Isw_min*L)*(1/J5+1/K5)))</f>
        <v>350</v>
      </c>
      <c r="X5" s="454">
        <f>MIN(1/(U5+V5)*1000, 350)</f>
        <v>350</v>
      </c>
      <c r="Z5" s="223">
        <f t="shared" ref="Z5:Z68" si="13">1/((W5*1000*L)*(1/J5+1/K5))</f>
        <v>0.48799916151346817</v>
      </c>
      <c r="AA5" s="179">
        <f t="shared" ref="AA5:AA68" si="14">L*Z5/K5*1000000</f>
        <v>0.94581280788177335</v>
      </c>
      <c r="AB5" s="179">
        <f t="shared" ref="AB5:AB36" si="15">0.5*AA5*Z5*Nps*W5/1000*(Pout/Pout_total)</f>
        <v>8.077227500912576E-2</v>
      </c>
      <c r="AC5" s="179"/>
      <c r="AD5" s="179">
        <f t="shared" ref="AD5:AD68" si="16">L*Isw_min/K5*1000000</f>
        <v>0.56206185567010303</v>
      </c>
      <c r="AE5" s="563">
        <f t="shared" ref="AE5:AE36" si="17">MAX(10, F5/(0.5*AD5/1000000*Isw_min*Nps)/1000*Pout_total/Pout)</f>
        <v>10</v>
      </c>
      <c r="AF5" s="546">
        <f t="shared" ref="AF5:AF36" si="18">0.5*AD5/1000000*Isw_min*Nps*W5*1000*(Pout/Pout_total)</f>
        <v>2.8524639175257726E-2</v>
      </c>
      <c r="AH5" s="179">
        <f t="shared" ref="AH5:AH36" si="19">SQRT((H5+I5)/(0.5*L*Fsw_DCM))</f>
        <v>6.6158141570396559E-5</v>
      </c>
      <c r="AI5" s="179">
        <f t="shared" ref="AI5:AI36" si="20">MAX(IF(F5&gt;AB5,T5,AH5),Isw_min)</f>
        <v>0.28999999999999998</v>
      </c>
      <c r="AJ5" s="179">
        <f t="shared" ref="AJ5:AJ36" si="21">IF(F5&gt;AF5, (AI5-Isw_min)/1.08*0.8+1.2, AE5*0.2/350+1)</f>
        <v>1.0057142857142858</v>
      </c>
      <c r="AL5" s="563">
        <f t="shared" ref="AL5:AL36" si="22">F5*1000</f>
        <v>1.0000000000000002E-6</v>
      </c>
      <c r="AM5" s="472">
        <f t="shared" ref="AM5:AM36" si="23">IF(F5&gt;AF5, X5, AE5)</f>
        <v>10</v>
      </c>
      <c r="AO5">
        <f>IF(H5&gt;O5, "",AL5)</f>
        <v>1.0000000000000002E-6</v>
      </c>
      <c r="AP5" s="472">
        <f t="shared" ref="AP5:AP68" si="24">IF(H5&gt;O5, "",AM5)</f>
        <v>10</v>
      </c>
      <c r="AQ5" s="472"/>
      <c r="AR5" s="6">
        <f>1/AM5*1000</f>
        <v>100</v>
      </c>
      <c r="AS5" s="6">
        <f t="shared" ref="AS5:AS68" si="25">L*AI5/J5*1000000</f>
        <v>1.1358333333333333</v>
      </c>
      <c r="AT5" s="6">
        <f>AR5-AS5</f>
        <v>98.864166666666662</v>
      </c>
      <c r="AU5" s="179">
        <f>AS5/AR5</f>
        <v>1.1358333333333333E-2</v>
      </c>
      <c r="AW5" s="6">
        <f t="shared" ref="AW5:AW36" si="26">F5*AS5/Vout_ripple*1000</f>
        <v>4.7326388888888881E-9</v>
      </c>
      <c r="AX5" s="6">
        <f t="shared" ref="AX5:AX36" si="27">G5*AS5/Vout_ripple2*1000</f>
        <v>9.4652777777777762E-9</v>
      </c>
      <c r="AY5" s="6">
        <f t="shared" ref="AY5:AY68" si="28">H5/Efficiency/J5*AT5/Vinripple1</f>
        <v>3.4689181286549706E-7</v>
      </c>
      <c r="AZ5" s="6"/>
      <c r="BA5" s="179">
        <f>AI5*SQRT(AU5/3)</f>
        <v>1.7844101110575574E-2</v>
      </c>
      <c r="BB5" s="179">
        <f t="shared" ref="BB5:BB36" si="29">AI5*Npri_sec1*SQRT((1-AU5)/3)*(Pout/Pout_total)</f>
        <v>0.16647799070414349</v>
      </c>
      <c r="BC5" s="179">
        <f t="shared" ref="BC5:BC36" si="30">AI5*Npri_sec2*SQRT((1-AU5)/3)*(Pout2/Pout_total)</f>
        <v>0.29959861035810614</v>
      </c>
      <c r="BD5" s="179"/>
      <c r="BE5" s="546">
        <f t="shared" ref="BE5:BE68" si="31">Rdson*BA5^2</f>
        <v>1.1144418055555553E-4</v>
      </c>
      <c r="BF5" s="546">
        <f t="shared" ref="BF5:BF68" si="32">0.5*L5*AI5*AM5*1000*Trise</f>
        <v>7.8843749999999997E-4</v>
      </c>
      <c r="BG5" s="546">
        <f t="shared" ref="BG5:BG68" si="33">Qg*Vdd*AM5*1000</f>
        <v>1.25E-4</v>
      </c>
      <c r="BH5" s="546">
        <f t="shared" ref="BH5:BH68" si="34">0.5*(Coss+Csw)*L5^2*AM5*1000</f>
        <v>6.5703125000000006E-4</v>
      </c>
      <c r="BI5">
        <f t="shared" ref="BI5:BI68" si="35">J5*IQ</f>
        <v>3.48E-3</v>
      </c>
      <c r="BJ5">
        <f t="shared" ref="BJ5:BJ36" si="36">(BF5+BG5+BH5+BI5+BE5*(1+RdsonTC*(Ta-25)))/(1-BE5*RdsonTC*ThetaJA)</f>
        <v>5.1621122676298158E-3</v>
      </c>
      <c r="BK5" s="472">
        <f>BJ5*1000</f>
        <v>5.1621122676298157</v>
      </c>
      <c r="BL5" s="179">
        <f t="shared" ref="BL5:BL36" si="37">Vfwd2*F5*(1+Diode_TC/1000*(Ta-25))</f>
        <v>3E-10</v>
      </c>
      <c r="BM5" s="179">
        <f t="shared" ref="BM5:BM36" si="38">Vfwd2*G5*(1+Diode_TC/1000*(Ta-25))</f>
        <v>3E-10</v>
      </c>
      <c r="BN5" s="546"/>
      <c r="BP5" s="472">
        <f>SUM(BL5:BO5)*1000</f>
        <v>5.9999999999999997E-7</v>
      </c>
      <c r="BQ5" s="546">
        <f t="shared" ref="BQ5:BQ68" si="39">Rdcr_pri*BA5^2</f>
        <v>6.3682388888888883E-5</v>
      </c>
      <c r="BR5" s="546">
        <f>Rdcr_sec*BB5^2</f>
        <v>5.5429842777777773E-3</v>
      </c>
      <c r="BS5" s="546">
        <f t="shared" ref="BS5:BS36" si="40">Rdcr_sec2*BC5^2</f>
        <v>8.9759327328508311E-3</v>
      </c>
      <c r="BT5" s="546">
        <f t="shared" ref="BT5:BT68" si="41">AI5^2.5*AM5^2.5*k_core</f>
        <v>7.1608569668720578E-7</v>
      </c>
      <c r="BU5" s="546">
        <f t="shared" ref="BU5:BU36" si="42">(BT5+(BQ5+BR5+BS5)*(1+Ltc*(Ta-25)))/(1-(BQ5+BR5+BS5)*Ltc*ThetaCa)</f>
        <v>1.4600348367721375E-2</v>
      </c>
      <c r="BV5" s="656">
        <f t="shared" ref="BV5:BV36" si="43">0.5*Lleak*0.000000001*AI5^2*AM5*1000</f>
        <v>1.55585E-4</v>
      </c>
      <c r="BW5" s="472">
        <f>(BU5+BV5)*1000</f>
        <v>14.755933367721374</v>
      </c>
      <c r="BX5" s="179">
        <f>SUM(BJ5,BL5:BO5,BU5:BV5)</f>
        <v>1.9918046235351192E-2</v>
      </c>
      <c r="BY5" s="6">
        <f>MIN(H5+I5,O5+P5)</f>
        <v>3.6000000000000005E-8</v>
      </c>
      <c r="BZ5" s="179">
        <f>BY5/(BY5+BX5)</f>
        <v>1.8074029203527516E-6</v>
      </c>
      <c r="CA5" s="6">
        <f>BZ5*100</f>
        <v>1.8074029203527515E-4</v>
      </c>
      <c r="CB5">
        <v>0</v>
      </c>
      <c r="CD5" s="581">
        <f t="shared" ref="CD5:CD36" si="44">IF(ABS(F5-Ioutmax_Vinnom)&lt;Iout/200, AM5, -50)</f>
        <v>-50</v>
      </c>
      <c r="CE5">
        <f t="shared" ref="CE5:CE36" si="45">IF(ABS(F5-Ioutmax_Vinnom)&lt;Iout/200, (O5+P5)*BZ5, -50)</f>
        <v>-50</v>
      </c>
    </row>
    <row r="6" spans="2:83" x14ac:dyDescent="0.2">
      <c r="E6" s="176">
        <v>1</v>
      </c>
      <c r="F6" s="223">
        <f>IF(PLOT_TYPE=1, E6/100*Iout, min_I*EXP(O6*rr/100))</f>
        <v>1.1000000000000001E-3</v>
      </c>
      <c r="G6" s="223">
        <f t="shared" ref="G6:G37" si="46">IF(PLOT_TYPE=1, E6/100*Iout2, min_I*EXP(Q6*rr/100))</f>
        <v>2E-3</v>
      </c>
      <c r="H6" s="223">
        <f t="shared" si="0"/>
        <v>2.64E-2</v>
      </c>
      <c r="I6" s="223">
        <f>G6*Vout2</f>
        <v>2.4E-2</v>
      </c>
      <c r="J6" s="559">
        <f t="shared" si="1"/>
        <v>12</v>
      </c>
      <c r="K6" s="454">
        <f t="shared" si="2"/>
        <v>24.25</v>
      </c>
      <c r="L6" s="454">
        <f t="shared" si="3"/>
        <v>36.25</v>
      </c>
      <c r="M6" s="454"/>
      <c r="N6" s="223">
        <f t="shared" si="4"/>
        <v>0.66896551724137931</v>
      </c>
      <c r="O6" s="178">
        <f t="shared" ref="O6:O37" si="47">N6*J6*Isw_max*0.5*Efficiency*Pout/(Pout+Pout2)</f>
        <v>2.8961428571428565</v>
      </c>
      <c r="P6" s="178">
        <f t="shared" si="5"/>
        <v>5.0263636363636364</v>
      </c>
      <c r="Q6" s="223">
        <f t="shared" si="6"/>
        <v>0.12067261904761901</v>
      </c>
      <c r="R6" s="223">
        <f t="shared" si="7"/>
        <v>0.24134523809523803</v>
      </c>
      <c r="S6" s="454">
        <f t="shared" si="8"/>
        <v>24</v>
      </c>
      <c r="T6" s="223">
        <f t="shared" si="9"/>
        <v>1.3217580032555618E-2</v>
      </c>
      <c r="U6" s="223">
        <f t="shared" si="10"/>
        <v>5.1768855127509505E-2</v>
      </c>
      <c r="V6" s="223">
        <f t="shared" si="11"/>
        <v>2.5617577795056249E-2</v>
      </c>
      <c r="W6" s="203">
        <f t="shared" si="12"/>
        <v>350</v>
      </c>
      <c r="X6" s="454">
        <f t="shared" ref="X6:X69" si="48">MIN(1/(U6+V6)*1000, 350)</f>
        <v>350</v>
      </c>
      <c r="Z6" s="223">
        <f t="shared" si="13"/>
        <v>0.48799916151346817</v>
      </c>
      <c r="AA6" s="179">
        <f t="shared" si="14"/>
        <v>0.94581280788177335</v>
      </c>
      <c r="AB6" s="179">
        <f t="shared" si="15"/>
        <v>8.077227500912576E-2</v>
      </c>
      <c r="AC6" s="179"/>
      <c r="AD6" s="179">
        <f t="shared" si="16"/>
        <v>0.56206185567010303</v>
      </c>
      <c r="AE6" s="563">
        <f t="shared" si="17"/>
        <v>13.497103245882563</v>
      </c>
      <c r="AF6" s="546">
        <f t="shared" si="18"/>
        <v>2.8524639175257726E-2</v>
      </c>
      <c r="AH6" s="179">
        <f t="shared" si="19"/>
        <v>7.8279368766413074E-2</v>
      </c>
      <c r="AI6" s="179">
        <f t="shared" si="20"/>
        <v>0.28999999999999998</v>
      </c>
      <c r="AJ6" s="179">
        <f t="shared" si="21"/>
        <v>1.0077126304262185</v>
      </c>
      <c r="AL6" s="563">
        <f t="shared" si="22"/>
        <v>1.1000000000000001</v>
      </c>
      <c r="AM6" s="472">
        <f t="shared" si="23"/>
        <v>13.497103245882563</v>
      </c>
      <c r="AO6">
        <f t="shared" ref="AO6:AO69" si="49">IF(H6&gt;O6, "",AL6)</f>
        <v>1.1000000000000001</v>
      </c>
      <c r="AP6" s="472">
        <f t="shared" si="24"/>
        <v>13.497103245882563</v>
      </c>
      <c r="AQ6" s="472"/>
      <c r="AR6" s="6">
        <f t="shared" ref="AR6:AR69" si="50">1/AM6*1000</f>
        <v>74.089971883786319</v>
      </c>
      <c r="AS6" s="6">
        <f t="shared" si="25"/>
        <v>1.1358333333333333</v>
      </c>
      <c r="AT6" s="6">
        <f t="shared" ref="AT6:AT69" si="51">AR6-AS6</f>
        <v>72.954138550452981</v>
      </c>
      <c r="AU6" s="179">
        <f t="shared" ref="AU6:AU69" si="52">AS6/AR6</f>
        <v>1.5330459770114942E-2</v>
      </c>
      <c r="AW6" s="6">
        <f t="shared" si="26"/>
        <v>5.205902777777778E-3</v>
      </c>
      <c r="AX6" s="6">
        <f t="shared" si="27"/>
        <v>1.8930555555555555E-2</v>
      </c>
      <c r="AY6" s="6">
        <f t="shared" si="28"/>
        <v>0.28157737686139744</v>
      </c>
      <c r="AZ6" s="6"/>
      <c r="BA6" s="179">
        <f t="shared" ref="BA6:BA69" si="53">AI6*SQRT(AU6/3)</f>
        <v>2.073074742716453E-2</v>
      </c>
      <c r="BB6" s="179">
        <f t="shared" si="29"/>
        <v>0.16614321967641185</v>
      </c>
      <c r="BC6" s="179">
        <f t="shared" si="30"/>
        <v>0.29899614672749447</v>
      </c>
      <c r="BD6" s="179"/>
      <c r="BE6" s="546">
        <f t="shared" si="31"/>
        <v>1.5041736111111106E-4</v>
      </c>
      <c r="BF6" s="546">
        <f t="shared" si="32"/>
        <v>1.0641622340425534E-3</v>
      </c>
      <c r="BG6" s="546">
        <f t="shared" si="33"/>
        <v>1.6871379057353204E-4</v>
      </c>
      <c r="BH6" s="546">
        <f t="shared" si="34"/>
        <v>8.8680186170212783E-4</v>
      </c>
      <c r="BI6">
        <f t="shared" si="35"/>
        <v>3.48E-3</v>
      </c>
      <c r="BJ6">
        <f t="shared" si="36"/>
        <v>5.7503949558041128E-3</v>
      </c>
      <c r="BK6" s="472">
        <f t="shared" ref="BK6:BK69" si="54">BJ6*1000</f>
        <v>5.7503949558041132</v>
      </c>
      <c r="BL6" s="179">
        <f t="shared" si="37"/>
        <v>3.3E-4</v>
      </c>
      <c r="BM6" s="179">
        <f t="shared" si="38"/>
        <v>5.9999999999999995E-4</v>
      </c>
      <c r="BN6" s="546"/>
      <c r="BP6" s="472">
        <f t="shared" ref="BP6:BP69" si="55">SUM(BL6:BO6)*1000</f>
        <v>0.92999999999999994</v>
      </c>
      <c r="BQ6" s="546">
        <f t="shared" si="39"/>
        <v>8.5952777777777763E-5</v>
      </c>
      <c r="BR6" s="546">
        <f t="shared" ref="BR6:BR68" si="56">Rdcr_sec*BB6^2</f>
        <v>5.5207138888888896E-3</v>
      </c>
      <c r="BS6" s="546">
        <f t="shared" si="40"/>
        <v>8.9398695757889404E-3</v>
      </c>
      <c r="BT6" s="546">
        <f t="shared" si="41"/>
        <v>1.5155365831393684E-6</v>
      </c>
      <c r="BU6" s="546">
        <f t="shared" si="42"/>
        <v>1.4565001404703144E-2</v>
      </c>
      <c r="BV6" s="656">
        <f t="shared" si="43"/>
        <v>2.0999468085106386E-4</v>
      </c>
      <c r="BW6" s="472">
        <f t="shared" ref="BW6:BW69" si="57">(BU6+BV6)*1000</f>
        <v>14.774996085554209</v>
      </c>
      <c r="BX6" s="179">
        <f t="shared" ref="BX6:BX69" si="58">SUM(BJ6,BL6:BO6,BU6:BV6)</f>
        <v>2.145539104135832E-2</v>
      </c>
      <c r="BY6" s="6">
        <f t="shared" ref="BY6:BY69" si="59">MIN(H6+I6,O6+P6)</f>
        <v>5.04E-2</v>
      </c>
      <c r="BZ6" s="179">
        <f t="shared" ref="BZ6:BZ69" si="60">BY6/(BY6+BX6)</f>
        <v>0.70140874984579671</v>
      </c>
      <c r="CA6" s="6">
        <f t="shared" ref="CA6:CA69" si="61">BZ6*100</f>
        <v>70.140874984579668</v>
      </c>
      <c r="CB6">
        <f t="shared" ref="CB6:CB37" si="62">F6/Iout*100</f>
        <v>1</v>
      </c>
      <c r="CD6" s="581">
        <f t="shared" si="44"/>
        <v>-50</v>
      </c>
      <c r="CE6">
        <f t="shared" si="45"/>
        <v>-50</v>
      </c>
    </row>
    <row r="7" spans="2:83" x14ac:dyDescent="0.2">
      <c r="E7" s="176">
        <v>2</v>
      </c>
      <c r="F7" s="223">
        <f>IF(PLOT_TYPE=1, E7/100*Iout, min_I*EXP(O7*rr/100))</f>
        <v>2.2000000000000001E-3</v>
      </c>
      <c r="G7" s="223">
        <f t="shared" si="46"/>
        <v>4.0000000000000001E-3</v>
      </c>
      <c r="H7" s="223">
        <f t="shared" si="0"/>
        <v>5.28E-2</v>
      </c>
      <c r="I7" s="223">
        <f>G7*Vout2</f>
        <v>4.8000000000000001E-2</v>
      </c>
      <c r="J7" s="559">
        <f t="shared" si="1"/>
        <v>12</v>
      </c>
      <c r="K7" s="454">
        <f t="shared" si="2"/>
        <v>24.25</v>
      </c>
      <c r="L7" s="454">
        <f t="shared" si="3"/>
        <v>36.25</v>
      </c>
      <c r="M7" s="454"/>
      <c r="N7" s="223">
        <f t="shared" si="4"/>
        <v>0.66896551724137931</v>
      </c>
      <c r="O7" s="178">
        <f t="shared" si="47"/>
        <v>2.8961428571428565</v>
      </c>
      <c r="P7" s="178">
        <f t="shared" si="5"/>
        <v>5.0263636363636364</v>
      </c>
      <c r="Q7" s="223">
        <f t="shared" si="6"/>
        <v>0.12067261904761901</v>
      </c>
      <c r="R7" s="223">
        <f t="shared" si="7"/>
        <v>0.24134523809523803</v>
      </c>
      <c r="S7" s="454">
        <f t="shared" si="8"/>
        <v>24</v>
      </c>
      <c r="T7" s="223">
        <f t="shared" si="9"/>
        <v>2.6435160065111235E-2</v>
      </c>
      <c r="U7" s="223">
        <f t="shared" si="10"/>
        <v>0.10353771025501901</v>
      </c>
      <c r="V7" s="223">
        <f t="shared" si="11"/>
        <v>5.1235155590112498E-2</v>
      </c>
      <c r="W7" s="203">
        <f t="shared" si="12"/>
        <v>350</v>
      </c>
      <c r="X7" s="454">
        <f t="shared" si="48"/>
        <v>350</v>
      </c>
      <c r="Z7" s="223">
        <f t="shared" si="13"/>
        <v>0.48799916151346817</v>
      </c>
      <c r="AA7" s="179">
        <f t="shared" si="14"/>
        <v>0.94581280788177335</v>
      </c>
      <c r="AB7" s="179">
        <f t="shared" si="15"/>
        <v>8.077227500912576E-2</v>
      </c>
      <c r="AC7" s="179"/>
      <c r="AD7" s="179">
        <f t="shared" si="16"/>
        <v>0.56206185567010303</v>
      </c>
      <c r="AE7" s="563">
        <f t="shared" si="17"/>
        <v>26.994206491765127</v>
      </c>
      <c r="AF7" s="546">
        <f t="shared" si="18"/>
        <v>2.8524639175257726E-2</v>
      </c>
      <c r="AH7" s="179">
        <f t="shared" si="19"/>
        <v>0.11070374496346622</v>
      </c>
      <c r="AI7" s="179">
        <f t="shared" si="20"/>
        <v>0.28999999999999998</v>
      </c>
      <c r="AJ7" s="179">
        <f t="shared" si="21"/>
        <v>1.0154252608524372</v>
      </c>
      <c r="AL7" s="563">
        <f t="shared" si="22"/>
        <v>2.2000000000000002</v>
      </c>
      <c r="AM7" s="472">
        <f t="shared" si="23"/>
        <v>26.994206491765127</v>
      </c>
      <c r="AO7">
        <f t="shared" si="49"/>
        <v>2.2000000000000002</v>
      </c>
      <c r="AP7" s="472">
        <f t="shared" si="24"/>
        <v>26.994206491765127</v>
      </c>
      <c r="AQ7" s="472"/>
      <c r="AR7" s="6">
        <f t="shared" si="50"/>
        <v>37.04498594189316</v>
      </c>
      <c r="AS7" s="6">
        <f t="shared" si="25"/>
        <v>1.1358333333333333</v>
      </c>
      <c r="AT7" s="6">
        <f t="shared" si="51"/>
        <v>35.909152608559829</v>
      </c>
      <c r="AU7" s="179">
        <f t="shared" si="52"/>
        <v>3.0660919540229883E-2</v>
      </c>
      <c r="AW7" s="6">
        <f t="shared" si="26"/>
        <v>1.0411805555555556E-2</v>
      </c>
      <c r="AX7" s="6">
        <f t="shared" si="27"/>
        <v>3.7861111111111109E-2</v>
      </c>
      <c r="AY7" s="6">
        <f t="shared" si="28"/>
        <v>0.27719345873274254</v>
      </c>
      <c r="AZ7" s="6"/>
      <c r="BA7" s="179">
        <f t="shared" si="53"/>
        <v>2.9317704169627222E-2</v>
      </c>
      <c r="BB7" s="179">
        <f t="shared" si="29"/>
        <v>0.16484479232161248</v>
      </c>
      <c r="BC7" s="179">
        <f t="shared" si="30"/>
        <v>0.29665945928008192</v>
      </c>
      <c r="BD7" s="179"/>
      <c r="BE7" s="546">
        <f t="shared" si="31"/>
        <v>3.0083472222222206E-4</v>
      </c>
      <c r="BF7" s="546">
        <f t="shared" si="32"/>
        <v>2.1283244680851067E-3</v>
      </c>
      <c r="BG7" s="546">
        <f t="shared" si="33"/>
        <v>3.3742758114706407E-4</v>
      </c>
      <c r="BH7" s="546">
        <f t="shared" si="34"/>
        <v>1.7736037234042557E-3</v>
      </c>
      <c r="BI7">
        <f t="shared" si="35"/>
        <v>3.48E-3</v>
      </c>
      <c r="BJ7">
        <f t="shared" si="36"/>
        <v>8.0210266005053214E-3</v>
      </c>
      <c r="BK7" s="472">
        <f t="shared" si="54"/>
        <v>8.021026600505321</v>
      </c>
      <c r="BL7" s="179">
        <f t="shared" si="37"/>
        <v>6.6E-4</v>
      </c>
      <c r="BM7" s="179">
        <f t="shared" si="38"/>
        <v>1.1999999999999999E-3</v>
      </c>
      <c r="BN7" s="546"/>
      <c r="BP7" s="472">
        <f t="shared" si="55"/>
        <v>1.8599999999999999</v>
      </c>
      <c r="BQ7" s="546">
        <f t="shared" si="39"/>
        <v>1.719055555555555E-4</v>
      </c>
      <c r="BR7" s="546">
        <f t="shared" si="56"/>
        <v>5.4347611111111097E-3</v>
      </c>
      <c r="BS7" s="546">
        <f t="shared" si="40"/>
        <v>8.8006834780350578E-3</v>
      </c>
      <c r="BT7" s="546">
        <f t="shared" si="41"/>
        <v>8.5731695605931095E-6</v>
      </c>
      <c r="BU7" s="546">
        <f t="shared" si="42"/>
        <v>1.4432558107713642E-2</v>
      </c>
      <c r="BV7" s="656">
        <f t="shared" si="43"/>
        <v>4.1998936170212773E-4</v>
      </c>
      <c r="BW7" s="472">
        <f t="shared" si="57"/>
        <v>14.85254746941577</v>
      </c>
      <c r="BX7" s="179">
        <f t="shared" si="58"/>
        <v>2.4733574069921091E-2</v>
      </c>
      <c r="BY7" s="6">
        <f t="shared" si="59"/>
        <v>0.1008</v>
      </c>
      <c r="BZ7" s="179">
        <f t="shared" si="60"/>
        <v>0.80297243782651551</v>
      </c>
      <c r="CA7" s="6">
        <f t="shared" si="61"/>
        <v>80.297243782651549</v>
      </c>
      <c r="CB7">
        <f t="shared" si="62"/>
        <v>2</v>
      </c>
      <c r="CD7" s="581">
        <f t="shared" si="44"/>
        <v>-50</v>
      </c>
      <c r="CE7">
        <f t="shared" si="45"/>
        <v>-50</v>
      </c>
    </row>
    <row r="8" spans="2:83" x14ac:dyDescent="0.2">
      <c r="E8" s="176">
        <v>3</v>
      </c>
      <c r="F8" s="223">
        <f t="shared" ref="F8:F39" si="63">IF(PLOT_TYPE=1, E8/100*Iout_max, min_I*EXP(O8*rr/100))</f>
        <v>3.3E-3</v>
      </c>
      <c r="G8" s="223">
        <f t="shared" si="46"/>
        <v>6.0000000000000001E-3</v>
      </c>
      <c r="H8" s="223">
        <f t="shared" si="0"/>
        <v>7.9199999999999993E-2</v>
      </c>
      <c r="I8" s="223">
        <f t="shared" ref="I8:I39" si="64">Vout2*G8</f>
        <v>7.2000000000000008E-2</v>
      </c>
      <c r="J8" s="559">
        <f t="shared" si="1"/>
        <v>12</v>
      </c>
      <c r="K8" s="454">
        <f t="shared" si="2"/>
        <v>24.25</v>
      </c>
      <c r="L8" s="454">
        <f t="shared" si="3"/>
        <v>36.25</v>
      </c>
      <c r="M8" s="454"/>
      <c r="N8" s="223">
        <f t="shared" si="4"/>
        <v>0.66896551724137931</v>
      </c>
      <c r="O8" s="178">
        <f t="shared" si="47"/>
        <v>2.8961428571428565</v>
      </c>
      <c r="P8" s="178">
        <f t="shared" si="5"/>
        <v>5.0263636363636364</v>
      </c>
      <c r="Q8" s="223">
        <f t="shared" si="6"/>
        <v>0.12067261904761901</v>
      </c>
      <c r="R8" s="223">
        <f t="shared" si="7"/>
        <v>0.24134523809523803</v>
      </c>
      <c r="S8" s="454">
        <f t="shared" si="8"/>
        <v>24</v>
      </c>
      <c r="T8" s="223">
        <f t="shared" si="9"/>
        <v>3.9652740097666853E-2</v>
      </c>
      <c r="U8" s="223">
        <f t="shared" si="10"/>
        <v>0.15530656538252849</v>
      </c>
      <c r="V8" s="223">
        <f t="shared" si="11"/>
        <v>7.6852733385168737E-2</v>
      </c>
      <c r="W8" s="203">
        <f t="shared" si="12"/>
        <v>350</v>
      </c>
      <c r="X8" s="454">
        <f t="shared" si="48"/>
        <v>350</v>
      </c>
      <c r="Z8" s="223">
        <f t="shared" si="13"/>
        <v>0.48799916151346817</v>
      </c>
      <c r="AA8" s="179">
        <f t="shared" si="14"/>
        <v>0.94581280788177335</v>
      </c>
      <c r="AB8" s="179">
        <f t="shared" si="15"/>
        <v>8.077227500912576E-2</v>
      </c>
      <c r="AC8" s="179"/>
      <c r="AD8" s="179">
        <f t="shared" si="16"/>
        <v>0.56206185567010303</v>
      </c>
      <c r="AE8" s="563">
        <f t="shared" si="17"/>
        <v>40.491309737647697</v>
      </c>
      <c r="AF8" s="546">
        <f t="shared" si="18"/>
        <v>2.8524639175257726E-2</v>
      </c>
      <c r="AH8" s="179">
        <f t="shared" si="19"/>
        <v>0.13558384388784769</v>
      </c>
      <c r="AI8" s="179">
        <f t="shared" si="20"/>
        <v>0.28999999999999998</v>
      </c>
      <c r="AJ8" s="179">
        <f t="shared" si="21"/>
        <v>1.0231378912786557</v>
      </c>
      <c r="AL8" s="563">
        <f t="shared" si="22"/>
        <v>3.3</v>
      </c>
      <c r="AM8" s="472">
        <f t="shared" si="23"/>
        <v>40.491309737647697</v>
      </c>
      <c r="AO8">
        <f t="shared" si="49"/>
        <v>3.3</v>
      </c>
      <c r="AP8" s="472">
        <f t="shared" si="24"/>
        <v>40.491309737647697</v>
      </c>
      <c r="AQ8" s="472"/>
      <c r="AR8" s="6">
        <f t="shared" si="50"/>
        <v>24.696657294595433</v>
      </c>
      <c r="AS8" s="6">
        <f t="shared" si="25"/>
        <v>1.1358333333333333</v>
      </c>
      <c r="AT8" s="6">
        <f t="shared" si="51"/>
        <v>23.560823961262098</v>
      </c>
      <c r="AU8" s="179">
        <f t="shared" si="52"/>
        <v>4.5991379310344839E-2</v>
      </c>
      <c r="AW8" s="6">
        <f t="shared" si="26"/>
        <v>1.5617708333333332E-2</v>
      </c>
      <c r="AX8" s="6">
        <f t="shared" si="27"/>
        <v>5.6791666666666664E-2</v>
      </c>
      <c r="AY8" s="6">
        <f t="shared" si="28"/>
        <v>0.27280954060408746</v>
      </c>
      <c r="AZ8" s="6"/>
      <c r="BA8" s="179">
        <f t="shared" si="53"/>
        <v>3.5906707822726758E-2</v>
      </c>
      <c r="BB8" s="179">
        <f t="shared" si="29"/>
        <v>0.16353605616703207</v>
      </c>
      <c r="BC8" s="179">
        <f t="shared" si="30"/>
        <v>0.29430421981822102</v>
      </c>
      <c r="BD8" s="179"/>
      <c r="BE8" s="546">
        <f t="shared" si="31"/>
        <v>4.5125208333333337E-4</v>
      </c>
      <c r="BF8" s="546">
        <f t="shared" si="32"/>
        <v>3.1924867021276603E-3</v>
      </c>
      <c r="BG8" s="546">
        <f t="shared" si="33"/>
        <v>5.0614137172059614E-4</v>
      </c>
      <c r="BH8" s="546">
        <f t="shared" si="34"/>
        <v>2.6604055851063842E-3</v>
      </c>
      <c r="BI8">
        <f t="shared" si="35"/>
        <v>3.48E-3</v>
      </c>
      <c r="BJ8">
        <f t="shared" si="36"/>
        <v>1.0291894971117817E-2</v>
      </c>
      <c r="BK8" s="472">
        <f t="shared" si="54"/>
        <v>10.291894971117818</v>
      </c>
      <c r="BL8" s="179">
        <f t="shared" si="37"/>
        <v>9.8999999999999999E-4</v>
      </c>
      <c r="BM8" s="179">
        <f t="shared" si="38"/>
        <v>1.8E-3</v>
      </c>
      <c r="BN8" s="546"/>
      <c r="BP8" s="472">
        <f t="shared" si="55"/>
        <v>2.79</v>
      </c>
      <c r="BQ8" s="546">
        <f t="shared" si="39"/>
        <v>2.578583333333334E-4</v>
      </c>
      <c r="BR8" s="546">
        <f t="shared" si="56"/>
        <v>5.3488083333333332E-3</v>
      </c>
      <c r="BS8" s="546">
        <f t="shared" si="40"/>
        <v>8.661497380281177E-3</v>
      </c>
      <c r="BT8" s="546">
        <f t="shared" si="41"/>
        <v>2.3624877264540514E-5</v>
      </c>
      <c r="BU8" s="546">
        <f t="shared" si="42"/>
        <v>1.4308120973592768E-2</v>
      </c>
      <c r="BV8" s="656">
        <f t="shared" si="43"/>
        <v>6.2998404255319176E-4</v>
      </c>
      <c r="BW8" s="472">
        <f t="shared" si="57"/>
        <v>14.938105016145959</v>
      </c>
      <c r="BX8" s="179">
        <f t="shared" si="58"/>
        <v>2.8019999987263774E-2</v>
      </c>
      <c r="BY8" s="6">
        <f t="shared" si="59"/>
        <v>0.1512</v>
      </c>
      <c r="BZ8" s="179">
        <f t="shared" si="60"/>
        <v>0.84365584204187583</v>
      </c>
      <c r="CA8" s="6">
        <f t="shared" si="61"/>
        <v>84.365584204187584</v>
      </c>
      <c r="CB8">
        <f t="shared" si="62"/>
        <v>3</v>
      </c>
      <c r="CD8" s="581">
        <f t="shared" si="44"/>
        <v>-50</v>
      </c>
      <c r="CE8">
        <f t="shared" si="45"/>
        <v>-50</v>
      </c>
    </row>
    <row r="9" spans="2:83" x14ac:dyDescent="0.2">
      <c r="E9" s="176">
        <v>4</v>
      </c>
      <c r="F9" s="223">
        <f t="shared" si="63"/>
        <v>4.4000000000000003E-3</v>
      </c>
      <c r="G9" s="223">
        <f t="shared" si="46"/>
        <v>8.0000000000000002E-3</v>
      </c>
      <c r="H9" s="223">
        <f t="shared" si="0"/>
        <v>0.1056</v>
      </c>
      <c r="I9" s="223">
        <f t="shared" si="64"/>
        <v>9.6000000000000002E-2</v>
      </c>
      <c r="J9" s="559">
        <f t="shared" si="1"/>
        <v>12</v>
      </c>
      <c r="K9" s="454">
        <f t="shared" si="2"/>
        <v>24.25</v>
      </c>
      <c r="L9" s="454">
        <f t="shared" si="3"/>
        <v>36.25</v>
      </c>
      <c r="M9" s="454"/>
      <c r="N9" s="223">
        <f t="shared" si="4"/>
        <v>0.66896551724137931</v>
      </c>
      <c r="O9" s="178">
        <f t="shared" si="47"/>
        <v>2.8961428571428565</v>
      </c>
      <c r="P9" s="178">
        <f t="shared" si="5"/>
        <v>5.0263636363636364</v>
      </c>
      <c r="Q9" s="223">
        <f t="shared" si="6"/>
        <v>0.12067261904761901</v>
      </c>
      <c r="R9" s="223">
        <f t="shared" si="7"/>
        <v>0.24134523809523803</v>
      </c>
      <c r="S9" s="454">
        <f t="shared" si="8"/>
        <v>24</v>
      </c>
      <c r="T9" s="223">
        <f t="shared" si="9"/>
        <v>5.287032013022247E-2</v>
      </c>
      <c r="U9" s="223">
        <f t="shared" si="10"/>
        <v>0.20707542051003802</v>
      </c>
      <c r="V9" s="223">
        <f t="shared" si="11"/>
        <v>0.102470311180225</v>
      </c>
      <c r="W9" s="203">
        <f t="shared" si="12"/>
        <v>350</v>
      </c>
      <c r="X9" s="454">
        <f t="shared" si="48"/>
        <v>350</v>
      </c>
      <c r="Z9" s="223">
        <f t="shared" si="13"/>
        <v>0.48799916151346817</v>
      </c>
      <c r="AA9" s="179">
        <f t="shared" si="14"/>
        <v>0.94581280788177335</v>
      </c>
      <c r="AB9" s="179">
        <f t="shared" si="15"/>
        <v>8.077227500912576E-2</v>
      </c>
      <c r="AC9" s="179"/>
      <c r="AD9" s="179">
        <f t="shared" si="16"/>
        <v>0.56206185567010303</v>
      </c>
      <c r="AE9" s="563">
        <f t="shared" si="17"/>
        <v>53.988412983530253</v>
      </c>
      <c r="AF9" s="546">
        <f t="shared" si="18"/>
        <v>2.8524639175257726E-2</v>
      </c>
      <c r="AH9" s="179">
        <f t="shared" si="19"/>
        <v>0.15655873753282615</v>
      </c>
      <c r="AI9" s="179">
        <f t="shared" si="20"/>
        <v>0.28999999999999998</v>
      </c>
      <c r="AJ9" s="179">
        <f t="shared" si="21"/>
        <v>1.0308505217048745</v>
      </c>
      <c r="AL9" s="563">
        <f t="shared" si="22"/>
        <v>4.4000000000000004</v>
      </c>
      <c r="AM9" s="472">
        <f t="shared" si="23"/>
        <v>53.988412983530253</v>
      </c>
      <c r="AO9">
        <f t="shared" si="49"/>
        <v>4.4000000000000004</v>
      </c>
      <c r="AP9" s="472">
        <f t="shared" si="24"/>
        <v>53.988412983530253</v>
      </c>
      <c r="AQ9" s="472"/>
      <c r="AR9" s="6">
        <f t="shared" si="50"/>
        <v>18.52249297094658</v>
      </c>
      <c r="AS9" s="6">
        <f t="shared" si="25"/>
        <v>1.1358333333333333</v>
      </c>
      <c r="AT9" s="6">
        <f t="shared" si="51"/>
        <v>17.386659637613246</v>
      </c>
      <c r="AU9" s="179">
        <f t="shared" si="52"/>
        <v>6.1321839080459767E-2</v>
      </c>
      <c r="AW9" s="6">
        <f t="shared" si="26"/>
        <v>2.0823611111111112E-2</v>
      </c>
      <c r="AX9" s="6">
        <f t="shared" si="27"/>
        <v>7.5722222222222219E-2</v>
      </c>
      <c r="AY9" s="6">
        <f t="shared" si="28"/>
        <v>0.26842562247543256</v>
      </c>
      <c r="AZ9" s="6"/>
      <c r="BA9" s="179">
        <f t="shared" si="53"/>
        <v>4.146149485432906E-2</v>
      </c>
      <c r="BB9" s="179">
        <f t="shared" si="29"/>
        <v>0.16221676170414012</v>
      </c>
      <c r="BC9" s="179">
        <f t="shared" si="30"/>
        <v>0.29192997931913905</v>
      </c>
      <c r="BD9" s="179"/>
      <c r="BE9" s="546">
        <f t="shared" si="31"/>
        <v>6.0166944444444424E-4</v>
      </c>
      <c r="BF9" s="546">
        <f t="shared" si="32"/>
        <v>4.2566489361702134E-3</v>
      </c>
      <c r="BG9" s="546">
        <f t="shared" si="33"/>
        <v>6.7485516229412814E-4</v>
      </c>
      <c r="BH9" s="546">
        <f t="shared" si="34"/>
        <v>3.5472074468085113E-3</v>
      </c>
      <c r="BI9">
        <f t="shared" si="35"/>
        <v>3.48E-3</v>
      </c>
      <c r="BJ9">
        <f t="shared" si="36"/>
        <v>1.2563000104663505E-2</v>
      </c>
      <c r="BK9" s="472">
        <f t="shared" si="54"/>
        <v>12.563000104663505</v>
      </c>
      <c r="BL9" s="179">
        <f t="shared" si="37"/>
        <v>1.32E-3</v>
      </c>
      <c r="BM9" s="179">
        <f t="shared" si="38"/>
        <v>2.3999999999999998E-3</v>
      </c>
      <c r="BN9" s="546"/>
      <c r="BP9" s="472">
        <f t="shared" si="55"/>
        <v>3.7199999999999998</v>
      </c>
      <c r="BQ9" s="546">
        <f t="shared" si="39"/>
        <v>3.4381111111111105E-4</v>
      </c>
      <c r="BR9" s="546">
        <f t="shared" si="56"/>
        <v>5.2628555555555567E-3</v>
      </c>
      <c r="BS9" s="546">
        <f t="shared" si="40"/>
        <v>8.5223112825272961E-3</v>
      </c>
      <c r="BT9" s="546">
        <f t="shared" si="41"/>
        <v>4.8497170660459824E-5</v>
      </c>
      <c r="BU9" s="546">
        <f t="shared" si="42"/>
        <v>1.4193518312435054E-2</v>
      </c>
      <c r="BV9" s="656">
        <f t="shared" si="43"/>
        <v>8.3997872340425546E-4</v>
      </c>
      <c r="BW9" s="472">
        <f t="shared" si="57"/>
        <v>15.033497035839309</v>
      </c>
      <c r="BX9" s="179">
        <f t="shared" si="58"/>
        <v>3.1316497140502816E-2</v>
      </c>
      <c r="BY9" s="6">
        <f t="shared" si="59"/>
        <v>0.2016</v>
      </c>
      <c r="BZ9" s="179">
        <f t="shared" si="60"/>
        <v>0.86554624715306583</v>
      </c>
      <c r="CA9" s="6">
        <f t="shared" si="61"/>
        <v>86.554624715306588</v>
      </c>
      <c r="CB9">
        <f t="shared" si="62"/>
        <v>4</v>
      </c>
      <c r="CD9" s="581">
        <f t="shared" si="44"/>
        <v>-50</v>
      </c>
      <c r="CE9">
        <f t="shared" si="45"/>
        <v>-50</v>
      </c>
    </row>
    <row r="10" spans="2:83" x14ac:dyDescent="0.2">
      <c r="E10" s="176">
        <v>5</v>
      </c>
      <c r="F10" s="223">
        <f t="shared" si="63"/>
        <v>5.5000000000000005E-3</v>
      </c>
      <c r="G10" s="223">
        <f t="shared" si="46"/>
        <v>1.0000000000000002E-2</v>
      </c>
      <c r="H10" s="223">
        <f t="shared" si="0"/>
        <v>0.13200000000000001</v>
      </c>
      <c r="I10" s="223">
        <f t="shared" si="64"/>
        <v>0.12000000000000002</v>
      </c>
      <c r="J10" s="559">
        <f t="shared" si="1"/>
        <v>12</v>
      </c>
      <c r="K10" s="454">
        <f t="shared" si="2"/>
        <v>24.25</v>
      </c>
      <c r="L10" s="454">
        <f t="shared" si="3"/>
        <v>36.25</v>
      </c>
      <c r="M10" s="454"/>
      <c r="N10" s="223">
        <f t="shared" si="4"/>
        <v>0.66896551724137931</v>
      </c>
      <c r="O10" s="178">
        <f t="shared" si="47"/>
        <v>2.8961428571428565</v>
      </c>
      <c r="P10" s="178">
        <f t="shared" si="5"/>
        <v>5.0263636363636364</v>
      </c>
      <c r="Q10" s="223">
        <f t="shared" si="6"/>
        <v>0.12067261904761901</v>
      </c>
      <c r="R10" s="223">
        <f t="shared" si="7"/>
        <v>0.24134523809523803</v>
      </c>
      <c r="S10" s="454">
        <f t="shared" si="8"/>
        <v>24</v>
      </c>
      <c r="T10" s="223">
        <f t="shared" si="9"/>
        <v>6.6087900162778088E-2</v>
      </c>
      <c r="U10" s="223">
        <f t="shared" si="10"/>
        <v>0.25884427563754753</v>
      </c>
      <c r="V10" s="223">
        <f t="shared" si="11"/>
        <v>0.12808788897528126</v>
      </c>
      <c r="W10" s="203">
        <f t="shared" si="12"/>
        <v>350</v>
      </c>
      <c r="X10" s="454">
        <f t="shared" si="48"/>
        <v>350</v>
      </c>
      <c r="Z10" s="223">
        <f t="shared" si="13"/>
        <v>0.48799916151346817</v>
      </c>
      <c r="AA10" s="179">
        <f t="shared" si="14"/>
        <v>0.94581280788177335</v>
      </c>
      <c r="AB10" s="179">
        <f t="shared" si="15"/>
        <v>8.077227500912576E-2</v>
      </c>
      <c r="AC10" s="179"/>
      <c r="AD10" s="179">
        <f t="shared" si="16"/>
        <v>0.56206185567010303</v>
      </c>
      <c r="AE10" s="563">
        <f t="shared" si="17"/>
        <v>67.485516229412823</v>
      </c>
      <c r="AF10" s="546">
        <f t="shared" si="18"/>
        <v>2.8524639175257726E-2</v>
      </c>
      <c r="AH10" s="179">
        <f t="shared" si="19"/>
        <v>0.17503798979747348</v>
      </c>
      <c r="AI10" s="179">
        <f t="shared" si="20"/>
        <v>0.28999999999999998</v>
      </c>
      <c r="AJ10" s="179">
        <f t="shared" si="21"/>
        <v>1.038563152131093</v>
      </c>
      <c r="AL10" s="563">
        <f t="shared" si="22"/>
        <v>5.5000000000000009</v>
      </c>
      <c r="AM10" s="472">
        <f t="shared" si="23"/>
        <v>67.485516229412823</v>
      </c>
      <c r="AO10">
        <f t="shared" si="49"/>
        <v>5.5000000000000009</v>
      </c>
      <c r="AP10" s="472">
        <f t="shared" si="24"/>
        <v>67.485516229412823</v>
      </c>
      <c r="AQ10" s="472"/>
      <c r="AR10" s="6">
        <f t="shared" si="50"/>
        <v>14.817994376757261</v>
      </c>
      <c r="AS10" s="6">
        <f t="shared" si="25"/>
        <v>1.1358333333333333</v>
      </c>
      <c r="AT10" s="6">
        <f t="shared" si="51"/>
        <v>13.682161043423928</v>
      </c>
      <c r="AU10" s="179">
        <f t="shared" si="52"/>
        <v>7.6652298850574715E-2</v>
      </c>
      <c r="AW10" s="6">
        <f t="shared" si="26"/>
        <v>2.602951388888889E-2</v>
      </c>
      <c r="AX10" s="6">
        <f t="shared" si="27"/>
        <v>9.465277777777778E-2</v>
      </c>
      <c r="AY10" s="6">
        <f t="shared" si="28"/>
        <v>0.26404170434677759</v>
      </c>
      <c r="AZ10" s="6"/>
      <c r="BA10" s="179">
        <f t="shared" si="53"/>
        <v>4.635536047151876E-2</v>
      </c>
      <c r="BB10" s="179">
        <f t="shared" si="29"/>
        <v>0.16088664919404869</v>
      </c>
      <c r="BC10" s="179">
        <f t="shared" si="30"/>
        <v>0.2895362703492157</v>
      </c>
      <c r="BD10" s="179"/>
      <c r="BE10" s="546">
        <f t="shared" si="31"/>
        <v>7.5208680555555543E-4</v>
      </c>
      <c r="BF10" s="546">
        <f t="shared" si="32"/>
        <v>5.3208111702127666E-3</v>
      </c>
      <c r="BG10" s="546">
        <f t="shared" si="33"/>
        <v>8.4356895286766026E-4</v>
      </c>
      <c r="BH10" s="546">
        <f t="shared" si="34"/>
        <v>4.4340093085106398E-3</v>
      </c>
      <c r="BI10">
        <f t="shared" si="35"/>
        <v>3.48E-3</v>
      </c>
      <c r="BJ10">
        <f t="shared" si="36"/>
        <v>1.4834342038172018E-2</v>
      </c>
      <c r="BK10" s="472">
        <f t="shared" si="54"/>
        <v>14.834342038172018</v>
      </c>
      <c r="BL10" s="179">
        <f t="shared" si="37"/>
        <v>1.6500000000000002E-3</v>
      </c>
      <c r="BM10" s="179">
        <f t="shared" si="38"/>
        <v>3.0000000000000005E-3</v>
      </c>
      <c r="BN10" s="546"/>
      <c r="BP10" s="472">
        <f t="shared" si="55"/>
        <v>4.6500000000000004</v>
      </c>
      <c r="BQ10" s="546">
        <f t="shared" si="39"/>
        <v>4.2976388888888882E-4</v>
      </c>
      <c r="BR10" s="546">
        <f t="shared" si="56"/>
        <v>5.1769027777777777E-3</v>
      </c>
      <c r="BS10" s="546">
        <f t="shared" si="40"/>
        <v>8.3831251847734118E-3</v>
      </c>
      <c r="BT10" s="546">
        <f t="shared" si="41"/>
        <v>8.4721070557184746E-5</v>
      </c>
      <c r="BU10" s="546">
        <f t="shared" si="42"/>
        <v>1.4090282531576842E-2</v>
      </c>
      <c r="BV10" s="656">
        <f t="shared" si="43"/>
        <v>1.0499734042553194E-3</v>
      </c>
      <c r="BW10" s="472">
        <f t="shared" si="57"/>
        <v>15.140255935832162</v>
      </c>
      <c r="BX10" s="179">
        <f t="shared" si="58"/>
        <v>3.4624597974004176E-2</v>
      </c>
      <c r="BY10" s="6">
        <f t="shared" si="59"/>
        <v>0.252</v>
      </c>
      <c r="BZ10" s="179">
        <f t="shared" si="60"/>
        <v>0.87919879096648745</v>
      </c>
      <c r="CA10" s="6">
        <f t="shared" si="61"/>
        <v>87.919879096648742</v>
      </c>
      <c r="CB10">
        <f t="shared" si="62"/>
        <v>5</v>
      </c>
      <c r="CD10" s="581">
        <f t="shared" si="44"/>
        <v>-50</v>
      </c>
      <c r="CE10">
        <f t="shared" si="45"/>
        <v>-50</v>
      </c>
    </row>
    <row r="11" spans="2:83" x14ac:dyDescent="0.2">
      <c r="E11" s="176">
        <v>6</v>
      </c>
      <c r="F11" s="223">
        <f t="shared" si="63"/>
        <v>6.6E-3</v>
      </c>
      <c r="G11" s="223">
        <f t="shared" si="46"/>
        <v>1.2E-2</v>
      </c>
      <c r="H11" s="223">
        <f t="shared" si="0"/>
        <v>0.15839999999999999</v>
      </c>
      <c r="I11" s="223">
        <f t="shared" si="64"/>
        <v>0.14400000000000002</v>
      </c>
      <c r="J11" s="559">
        <f t="shared" si="1"/>
        <v>12</v>
      </c>
      <c r="K11" s="454">
        <f t="shared" si="2"/>
        <v>24.25</v>
      </c>
      <c r="L11" s="454">
        <f t="shared" si="3"/>
        <v>36.25</v>
      </c>
      <c r="M11" s="454"/>
      <c r="N11" s="223">
        <f t="shared" si="4"/>
        <v>0.66896551724137931</v>
      </c>
      <c r="O11" s="178">
        <f t="shared" si="47"/>
        <v>2.8961428571428565</v>
      </c>
      <c r="P11" s="178">
        <f t="shared" si="5"/>
        <v>5.0263636363636364</v>
      </c>
      <c r="Q11" s="223">
        <f t="shared" si="6"/>
        <v>0.12067261904761901</v>
      </c>
      <c r="R11" s="223">
        <f t="shared" si="7"/>
        <v>0.24134523809523803</v>
      </c>
      <c r="S11" s="454">
        <f t="shared" si="8"/>
        <v>24</v>
      </c>
      <c r="T11" s="223">
        <f t="shared" si="9"/>
        <v>7.9305480195333705E-2</v>
      </c>
      <c r="U11" s="223">
        <f t="shared" si="10"/>
        <v>0.31061313076505698</v>
      </c>
      <c r="V11" s="223">
        <f t="shared" si="11"/>
        <v>0.15370546677033747</v>
      </c>
      <c r="W11" s="203">
        <f t="shared" si="12"/>
        <v>350</v>
      </c>
      <c r="X11" s="454">
        <f t="shared" si="48"/>
        <v>350</v>
      </c>
      <c r="Z11" s="223">
        <f t="shared" si="13"/>
        <v>0.48799916151346817</v>
      </c>
      <c r="AA11" s="179">
        <f t="shared" si="14"/>
        <v>0.94581280788177335</v>
      </c>
      <c r="AB11" s="179">
        <f t="shared" si="15"/>
        <v>8.077227500912576E-2</v>
      </c>
      <c r="AC11" s="179"/>
      <c r="AD11" s="179">
        <f t="shared" si="16"/>
        <v>0.56206185567010303</v>
      </c>
      <c r="AE11" s="563">
        <f t="shared" si="17"/>
        <v>80.982619475295394</v>
      </c>
      <c r="AF11" s="546">
        <f t="shared" si="18"/>
        <v>2.8524639175257726E-2</v>
      </c>
      <c r="AH11" s="179">
        <f t="shared" si="19"/>
        <v>0.19174451086487068</v>
      </c>
      <c r="AI11" s="179">
        <f t="shared" si="20"/>
        <v>0.28999999999999998</v>
      </c>
      <c r="AJ11" s="179">
        <f t="shared" si="21"/>
        <v>1.0462757825573117</v>
      </c>
      <c r="AL11" s="563">
        <f t="shared" si="22"/>
        <v>6.6</v>
      </c>
      <c r="AM11" s="472">
        <f t="shared" si="23"/>
        <v>80.982619475295394</v>
      </c>
      <c r="AO11">
        <f t="shared" si="49"/>
        <v>6.6</v>
      </c>
      <c r="AP11" s="472">
        <f t="shared" si="24"/>
        <v>80.982619475295394</v>
      </c>
      <c r="AQ11" s="472"/>
      <c r="AR11" s="6">
        <f t="shared" si="50"/>
        <v>12.348328647297716</v>
      </c>
      <c r="AS11" s="6">
        <f t="shared" si="25"/>
        <v>1.1358333333333333</v>
      </c>
      <c r="AT11" s="6">
        <f t="shared" si="51"/>
        <v>11.212495313964382</v>
      </c>
      <c r="AU11" s="179">
        <f t="shared" si="52"/>
        <v>9.1982758620689678E-2</v>
      </c>
      <c r="AW11" s="6">
        <f t="shared" si="26"/>
        <v>3.1235416666666665E-2</v>
      </c>
      <c r="AX11" s="6">
        <f t="shared" si="27"/>
        <v>0.11358333333333333</v>
      </c>
      <c r="AY11" s="6">
        <f t="shared" si="28"/>
        <v>0.25965778621812252</v>
      </c>
      <c r="AZ11" s="6"/>
      <c r="BA11" s="179">
        <f t="shared" si="53"/>
        <v>5.077975318306828E-2</v>
      </c>
      <c r="BB11" s="179">
        <f t="shared" si="29"/>
        <v>0.15954544807044793</v>
      </c>
      <c r="BC11" s="179">
        <f t="shared" si="30"/>
        <v>0.28712260598948891</v>
      </c>
      <c r="BD11" s="179"/>
      <c r="BE11" s="546">
        <f t="shared" si="31"/>
        <v>9.0250416666666641E-4</v>
      </c>
      <c r="BF11" s="546">
        <f t="shared" si="32"/>
        <v>6.3849734042553206E-3</v>
      </c>
      <c r="BG11" s="546">
        <f t="shared" si="33"/>
        <v>1.0122827434411923E-3</v>
      </c>
      <c r="BH11" s="546">
        <f t="shared" si="34"/>
        <v>5.3208111702127683E-3</v>
      </c>
      <c r="BI11">
        <f t="shared" si="35"/>
        <v>3.48E-3</v>
      </c>
      <c r="BJ11">
        <f t="shared" si="36"/>
        <v>1.7105920808680706E-2</v>
      </c>
      <c r="BK11" s="472">
        <f t="shared" si="54"/>
        <v>17.105920808680708</v>
      </c>
      <c r="BL11" s="179">
        <f t="shared" si="37"/>
        <v>1.98E-3</v>
      </c>
      <c r="BM11" s="179">
        <f t="shared" si="38"/>
        <v>3.5999999999999999E-3</v>
      </c>
      <c r="BN11" s="546"/>
      <c r="BP11" s="472">
        <f t="shared" si="55"/>
        <v>5.58</v>
      </c>
      <c r="BQ11" s="546">
        <f t="shared" si="39"/>
        <v>5.1571666666666658E-4</v>
      </c>
      <c r="BR11" s="546">
        <f t="shared" si="56"/>
        <v>5.0909500000000003E-3</v>
      </c>
      <c r="BS11" s="546">
        <f t="shared" si="40"/>
        <v>8.2439390870195292E-3</v>
      </c>
      <c r="BT11" s="546">
        <f t="shared" si="41"/>
        <v>1.3364248734765182E-4</v>
      </c>
      <c r="BU11" s="546">
        <f t="shared" si="42"/>
        <v>1.3999760654271309E-2</v>
      </c>
      <c r="BV11" s="656">
        <f t="shared" si="43"/>
        <v>1.2599680851063835E-3</v>
      </c>
      <c r="BW11" s="472">
        <f t="shared" si="57"/>
        <v>15.259728739377692</v>
      </c>
      <c r="BX11" s="179">
        <f t="shared" si="58"/>
        <v>3.7945649548058395E-2</v>
      </c>
      <c r="BY11" s="6">
        <f t="shared" si="59"/>
        <v>0.3024</v>
      </c>
      <c r="BZ11" s="179">
        <f t="shared" si="60"/>
        <v>0.88850849247391273</v>
      </c>
      <c r="CA11" s="6">
        <f t="shared" si="61"/>
        <v>88.850849247391267</v>
      </c>
      <c r="CB11">
        <f t="shared" si="62"/>
        <v>6</v>
      </c>
      <c r="CD11" s="581">
        <f t="shared" si="44"/>
        <v>-50</v>
      </c>
      <c r="CE11">
        <f t="shared" si="45"/>
        <v>-50</v>
      </c>
    </row>
    <row r="12" spans="2:83" x14ac:dyDescent="0.2">
      <c r="E12" s="176">
        <v>7</v>
      </c>
      <c r="F12" s="223">
        <f t="shared" si="63"/>
        <v>7.7000000000000011E-3</v>
      </c>
      <c r="G12" s="223">
        <f t="shared" si="46"/>
        <v>1.4000000000000002E-2</v>
      </c>
      <c r="H12" s="223">
        <f t="shared" si="0"/>
        <v>0.18480000000000002</v>
      </c>
      <c r="I12" s="223">
        <f t="shared" si="64"/>
        <v>0.16800000000000004</v>
      </c>
      <c r="J12" s="559">
        <f t="shared" si="1"/>
        <v>12</v>
      </c>
      <c r="K12" s="454">
        <f t="shared" si="2"/>
        <v>24.25</v>
      </c>
      <c r="L12" s="454">
        <f t="shared" si="3"/>
        <v>36.25</v>
      </c>
      <c r="M12" s="454"/>
      <c r="N12" s="223">
        <f t="shared" si="4"/>
        <v>0.66896551724137931</v>
      </c>
      <c r="O12" s="178">
        <f t="shared" si="47"/>
        <v>2.8961428571428565</v>
      </c>
      <c r="P12" s="178">
        <f t="shared" si="5"/>
        <v>5.0263636363636364</v>
      </c>
      <c r="Q12" s="223">
        <f t="shared" si="6"/>
        <v>0.12067261904761901</v>
      </c>
      <c r="R12" s="223">
        <f t="shared" si="7"/>
        <v>0.24134523809523803</v>
      </c>
      <c r="S12" s="454">
        <f t="shared" si="8"/>
        <v>24</v>
      </c>
      <c r="T12" s="223">
        <f t="shared" si="9"/>
        <v>9.2523060227889337E-2</v>
      </c>
      <c r="U12" s="223">
        <f t="shared" si="10"/>
        <v>0.36238198589256659</v>
      </c>
      <c r="V12" s="223">
        <f t="shared" si="11"/>
        <v>0.17932304456539377</v>
      </c>
      <c r="W12" s="203">
        <f t="shared" si="12"/>
        <v>350</v>
      </c>
      <c r="X12" s="454">
        <f t="shared" si="48"/>
        <v>350</v>
      </c>
      <c r="Z12" s="223">
        <f t="shared" si="13"/>
        <v>0.48799916151346817</v>
      </c>
      <c r="AA12" s="179">
        <f t="shared" si="14"/>
        <v>0.94581280788177335</v>
      </c>
      <c r="AB12" s="179">
        <f t="shared" si="15"/>
        <v>8.077227500912576E-2</v>
      </c>
      <c r="AC12" s="179"/>
      <c r="AD12" s="179">
        <f t="shared" si="16"/>
        <v>0.56206185567010303</v>
      </c>
      <c r="AE12" s="563">
        <f t="shared" si="17"/>
        <v>94.479722721177964</v>
      </c>
      <c r="AF12" s="546">
        <f t="shared" si="18"/>
        <v>2.8524639175257726E-2</v>
      </c>
      <c r="AH12" s="179">
        <f t="shared" si="19"/>
        <v>0.20710774254304595</v>
      </c>
      <c r="AI12" s="179">
        <f t="shared" si="20"/>
        <v>0.28999999999999998</v>
      </c>
      <c r="AJ12" s="179">
        <f t="shared" si="21"/>
        <v>1.0539884129835302</v>
      </c>
      <c r="AL12" s="563">
        <f t="shared" si="22"/>
        <v>7.7000000000000011</v>
      </c>
      <c r="AM12" s="472">
        <f t="shared" si="23"/>
        <v>94.479722721177964</v>
      </c>
      <c r="AO12">
        <f t="shared" si="49"/>
        <v>7.7000000000000011</v>
      </c>
      <c r="AP12" s="472">
        <f t="shared" si="24"/>
        <v>94.479722721177964</v>
      </c>
      <c r="AQ12" s="472"/>
      <c r="AR12" s="6">
        <f t="shared" si="50"/>
        <v>10.584281697683755</v>
      </c>
      <c r="AS12" s="6">
        <f t="shared" si="25"/>
        <v>1.1358333333333333</v>
      </c>
      <c r="AT12" s="6">
        <f t="shared" si="51"/>
        <v>9.4484483643504227</v>
      </c>
      <c r="AU12" s="179">
        <f t="shared" si="52"/>
        <v>0.10731321839080464</v>
      </c>
      <c r="AW12" s="6">
        <f t="shared" si="26"/>
        <v>3.6441319444444446E-2</v>
      </c>
      <c r="AX12" s="6">
        <f t="shared" si="27"/>
        <v>0.1325138888888889</v>
      </c>
      <c r="AY12" s="6">
        <f t="shared" si="28"/>
        <v>0.25527386808946756</v>
      </c>
      <c r="AZ12" s="6"/>
      <c r="BA12" s="179">
        <f t="shared" si="53"/>
        <v>5.4848402184769461E-2</v>
      </c>
      <c r="BB12" s="179">
        <f t="shared" si="29"/>
        <v>0.1581928762969784</v>
      </c>
      <c r="BC12" s="179">
        <f t="shared" si="30"/>
        <v>0.28468847867916341</v>
      </c>
      <c r="BD12" s="179"/>
      <c r="BE12" s="546">
        <f t="shared" si="31"/>
        <v>1.0529215277777781E-3</v>
      </c>
      <c r="BF12" s="546">
        <f t="shared" si="32"/>
        <v>7.4491356382978737E-3</v>
      </c>
      <c r="BG12" s="546">
        <f t="shared" si="33"/>
        <v>1.1809965340147245E-3</v>
      </c>
      <c r="BH12" s="546">
        <f t="shared" si="34"/>
        <v>6.2076130319148968E-3</v>
      </c>
      <c r="BI12">
        <f t="shared" si="35"/>
        <v>3.48E-3</v>
      </c>
      <c r="BJ12">
        <f t="shared" si="36"/>
        <v>1.9377736453234651E-2</v>
      </c>
      <c r="BK12" s="472">
        <f t="shared" si="54"/>
        <v>19.37773645323465</v>
      </c>
      <c r="BL12" s="179">
        <f t="shared" si="37"/>
        <v>2.3100000000000004E-3</v>
      </c>
      <c r="BM12" s="179">
        <f t="shared" si="38"/>
        <v>4.2000000000000006E-3</v>
      </c>
      <c r="BN12" s="546"/>
      <c r="BP12" s="472">
        <f t="shared" si="55"/>
        <v>6.5100000000000007</v>
      </c>
      <c r="BQ12" s="546">
        <f t="shared" si="39"/>
        <v>6.0166944444444478E-4</v>
      </c>
      <c r="BR12" s="546">
        <f t="shared" si="56"/>
        <v>5.0049972222222221E-3</v>
      </c>
      <c r="BS12" s="546">
        <f t="shared" si="40"/>
        <v>8.1047529892656484E-3</v>
      </c>
      <c r="BT12" s="546">
        <f t="shared" si="41"/>
        <v>1.9647691218855964E-4</v>
      </c>
      <c r="BU12" s="546">
        <f t="shared" si="42"/>
        <v>1.3923169081257965E-2</v>
      </c>
      <c r="BV12" s="656">
        <f t="shared" si="43"/>
        <v>1.4699627659574474E-3</v>
      </c>
      <c r="BW12" s="472">
        <f t="shared" si="57"/>
        <v>15.393131847215411</v>
      </c>
      <c r="BX12" s="179">
        <f t="shared" si="58"/>
        <v>4.1280868300450066E-2</v>
      </c>
      <c r="BY12" s="6">
        <f t="shared" si="59"/>
        <v>0.35280000000000006</v>
      </c>
      <c r="BZ12" s="179">
        <f t="shared" si="60"/>
        <v>0.89524772293950272</v>
      </c>
      <c r="CA12" s="6">
        <f t="shared" si="61"/>
        <v>89.524772293950278</v>
      </c>
      <c r="CB12">
        <f t="shared" si="62"/>
        <v>7.0000000000000009</v>
      </c>
      <c r="CD12" s="581">
        <f t="shared" si="44"/>
        <v>-50</v>
      </c>
      <c r="CE12">
        <f t="shared" si="45"/>
        <v>-50</v>
      </c>
    </row>
    <row r="13" spans="2:83" s="78" customFormat="1" x14ac:dyDescent="0.2">
      <c r="E13" s="195">
        <v>8</v>
      </c>
      <c r="F13" s="223">
        <f t="shared" si="63"/>
        <v>8.8000000000000005E-3</v>
      </c>
      <c r="G13" s="223">
        <f t="shared" si="46"/>
        <v>1.6E-2</v>
      </c>
      <c r="H13" s="223">
        <f t="shared" si="0"/>
        <v>0.2112</v>
      </c>
      <c r="I13" s="223">
        <f t="shared" si="64"/>
        <v>0.192</v>
      </c>
      <c r="J13" s="559">
        <f t="shared" si="1"/>
        <v>12</v>
      </c>
      <c r="K13" s="454">
        <f t="shared" si="2"/>
        <v>24.25</v>
      </c>
      <c r="L13" s="553">
        <f t="shared" si="3"/>
        <v>36.25</v>
      </c>
      <c r="M13" s="553"/>
      <c r="N13" s="335">
        <f t="shared" si="4"/>
        <v>0.66896551724137931</v>
      </c>
      <c r="O13" s="178">
        <f t="shared" si="47"/>
        <v>2.8961428571428565</v>
      </c>
      <c r="P13" s="178">
        <f t="shared" si="5"/>
        <v>5.0263636363636364</v>
      </c>
      <c r="Q13" s="335">
        <f t="shared" si="6"/>
        <v>0.12067261904761901</v>
      </c>
      <c r="R13" s="223">
        <f t="shared" si="7"/>
        <v>0.24134523809523803</v>
      </c>
      <c r="S13" s="454">
        <f t="shared" si="8"/>
        <v>24</v>
      </c>
      <c r="T13" s="223">
        <f t="shared" si="9"/>
        <v>0.10574064026044494</v>
      </c>
      <c r="U13" s="335">
        <f t="shared" si="10"/>
        <v>0.41415084102007604</v>
      </c>
      <c r="V13" s="223">
        <f t="shared" si="11"/>
        <v>0.20494062236044999</v>
      </c>
      <c r="W13" s="555">
        <f t="shared" si="12"/>
        <v>350</v>
      </c>
      <c r="X13" s="553">
        <f t="shared" si="48"/>
        <v>350</v>
      </c>
      <c r="Z13" s="335">
        <f t="shared" si="13"/>
        <v>0.48799916151346817</v>
      </c>
      <c r="AA13" s="179">
        <f t="shared" si="14"/>
        <v>0.94581280788177335</v>
      </c>
      <c r="AB13" s="179">
        <f t="shared" si="15"/>
        <v>8.077227500912576E-2</v>
      </c>
      <c r="AC13" s="556"/>
      <c r="AD13" s="179">
        <f t="shared" si="16"/>
        <v>0.56206185567010303</v>
      </c>
      <c r="AE13" s="563">
        <f t="shared" si="17"/>
        <v>107.97682596706051</v>
      </c>
      <c r="AF13" s="546">
        <f t="shared" si="18"/>
        <v>2.8524639175257726E-2</v>
      </c>
      <c r="AG13"/>
      <c r="AH13" s="179">
        <f t="shared" si="19"/>
        <v>0.22140748992693243</v>
      </c>
      <c r="AI13" s="179">
        <f t="shared" si="20"/>
        <v>0.28999999999999998</v>
      </c>
      <c r="AJ13" s="179">
        <f t="shared" si="21"/>
        <v>1.0617010434097489</v>
      </c>
      <c r="AL13" s="563">
        <f t="shared" si="22"/>
        <v>8.8000000000000007</v>
      </c>
      <c r="AM13" s="472">
        <f t="shared" si="23"/>
        <v>107.97682596706051</v>
      </c>
      <c r="AO13">
        <f t="shared" si="49"/>
        <v>8.8000000000000007</v>
      </c>
      <c r="AP13" s="472">
        <f t="shared" si="24"/>
        <v>107.97682596706051</v>
      </c>
      <c r="AQ13" s="472"/>
      <c r="AR13" s="6">
        <f t="shared" si="50"/>
        <v>9.2612464854732899</v>
      </c>
      <c r="AS13" s="6">
        <f t="shared" si="25"/>
        <v>1.1358333333333333</v>
      </c>
      <c r="AT13" s="6">
        <f t="shared" si="51"/>
        <v>8.1254131521399557</v>
      </c>
      <c r="AU13" s="179">
        <f t="shared" si="52"/>
        <v>0.12264367816091953</v>
      </c>
      <c r="AW13" s="6">
        <f t="shared" si="26"/>
        <v>4.1647222222222224E-2</v>
      </c>
      <c r="AX13" s="6">
        <f t="shared" si="27"/>
        <v>0.15144444444444444</v>
      </c>
      <c r="AY13" s="6">
        <f t="shared" si="28"/>
        <v>0.25088994996081265</v>
      </c>
      <c r="AZ13" s="6"/>
      <c r="BA13" s="179">
        <f t="shared" si="53"/>
        <v>5.8635408339254444E-2</v>
      </c>
      <c r="BB13" s="179">
        <f t="shared" si="29"/>
        <v>0.156828639674717</v>
      </c>
      <c r="BC13" s="179">
        <f t="shared" si="30"/>
        <v>0.28223335896934232</v>
      </c>
      <c r="BD13" s="179"/>
      <c r="BE13" s="546">
        <f t="shared" si="31"/>
        <v>1.2033388888888883E-3</v>
      </c>
      <c r="BF13" s="546">
        <f t="shared" si="32"/>
        <v>8.5132978723404269E-3</v>
      </c>
      <c r="BG13" s="546">
        <f t="shared" si="33"/>
        <v>1.3497103245882563E-3</v>
      </c>
      <c r="BH13" s="546">
        <f t="shared" si="34"/>
        <v>7.0944148936170227E-3</v>
      </c>
      <c r="BI13">
        <f t="shared" si="35"/>
        <v>3.48E-3</v>
      </c>
      <c r="BJ13">
        <f t="shared" si="36"/>
        <v>2.1649789008886637E-2</v>
      </c>
      <c r="BK13" s="472">
        <f t="shared" si="54"/>
        <v>21.649789008886636</v>
      </c>
      <c r="BL13" s="179">
        <f t="shared" si="37"/>
        <v>2.64E-3</v>
      </c>
      <c r="BM13" s="179">
        <f t="shared" si="38"/>
        <v>4.7999999999999996E-3</v>
      </c>
      <c r="BN13" s="546"/>
      <c r="BP13" s="472">
        <f t="shared" si="55"/>
        <v>7.4399999999999995</v>
      </c>
      <c r="BQ13" s="546">
        <f t="shared" si="39"/>
        <v>6.87622222222222E-4</v>
      </c>
      <c r="BR13" s="546">
        <f t="shared" si="56"/>
        <v>4.9190444444444439E-3</v>
      </c>
      <c r="BS13" s="546">
        <f t="shared" si="40"/>
        <v>7.965566891511764E-3</v>
      </c>
      <c r="BT13" s="546">
        <f t="shared" si="41"/>
        <v>2.7434142593897912E-4</v>
      </c>
      <c r="BU13" s="546">
        <f t="shared" si="42"/>
        <v>1.3861625641773906E-2</v>
      </c>
      <c r="BV13" s="656">
        <f t="shared" si="43"/>
        <v>1.6799574468085109E-3</v>
      </c>
      <c r="BW13" s="472">
        <f t="shared" si="57"/>
        <v>15.541583088582417</v>
      </c>
      <c r="BX13" s="179">
        <f t="shared" si="58"/>
        <v>4.4631372097469049E-2</v>
      </c>
      <c r="BY13" s="6">
        <f t="shared" si="59"/>
        <v>0.4032</v>
      </c>
      <c r="BZ13" s="179">
        <f t="shared" si="60"/>
        <v>0.90033888896967418</v>
      </c>
      <c r="CA13" s="6">
        <f t="shared" si="61"/>
        <v>90.033888896967412</v>
      </c>
      <c r="CB13">
        <f t="shared" si="62"/>
        <v>8</v>
      </c>
      <c r="CD13" s="581">
        <f t="shared" si="44"/>
        <v>-50</v>
      </c>
      <c r="CE13">
        <f t="shared" si="45"/>
        <v>-50</v>
      </c>
    </row>
    <row r="14" spans="2:83" x14ac:dyDescent="0.2">
      <c r="E14" s="176">
        <v>9</v>
      </c>
      <c r="F14" s="223">
        <f t="shared" si="63"/>
        <v>9.8999999999999991E-3</v>
      </c>
      <c r="G14" s="223">
        <f t="shared" si="46"/>
        <v>1.7999999999999999E-2</v>
      </c>
      <c r="H14" s="223">
        <f t="shared" si="0"/>
        <v>0.23759999999999998</v>
      </c>
      <c r="I14" s="223">
        <f t="shared" si="64"/>
        <v>0.21599999999999997</v>
      </c>
      <c r="J14" s="559">
        <f t="shared" si="1"/>
        <v>12</v>
      </c>
      <c r="K14" s="454">
        <f t="shared" si="2"/>
        <v>24.25</v>
      </c>
      <c r="L14" s="454">
        <f t="shared" si="3"/>
        <v>36.25</v>
      </c>
      <c r="M14" s="454"/>
      <c r="N14" s="223">
        <f t="shared" si="4"/>
        <v>0.66896551724137931</v>
      </c>
      <c r="O14" s="178">
        <f t="shared" si="47"/>
        <v>2.8961428571428565</v>
      </c>
      <c r="P14" s="178">
        <f t="shared" si="5"/>
        <v>5.0263636363636364</v>
      </c>
      <c r="Q14" s="223">
        <f t="shared" si="6"/>
        <v>0.12067261904761901</v>
      </c>
      <c r="R14" s="223">
        <f t="shared" si="7"/>
        <v>0.24134523809523803</v>
      </c>
      <c r="S14" s="454">
        <f t="shared" si="8"/>
        <v>24</v>
      </c>
      <c r="T14" s="223">
        <f t="shared" si="9"/>
        <v>0.11895822029300054</v>
      </c>
      <c r="U14" s="223">
        <f t="shared" si="10"/>
        <v>0.46591969614758544</v>
      </c>
      <c r="V14" s="223">
        <f t="shared" si="11"/>
        <v>0.23055820015550618</v>
      </c>
      <c r="W14" s="203">
        <f t="shared" si="12"/>
        <v>350</v>
      </c>
      <c r="X14" s="454">
        <f t="shared" si="48"/>
        <v>350</v>
      </c>
      <c r="Z14" s="223">
        <f t="shared" si="13"/>
        <v>0.48799916151346817</v>
      </c>
      <c r="AA14" s="179">
        <f t="shared" si="14"/>
        <v>0.94581280788177335</v>
      </c>
      <c r="AB14" s="179">
        <f t="shared" si="15"/>
        <v>8.077227500912576E-2</v>
      </c>
      <c r="AC14" s="179"/>
      <c r="AD14" s="179">
        <f t="shared" si="16"/>
        <v>0.56206185567010303</v>
      </c>
      <c r="AE14" s="563">
        <f t="shared" si="17"/>
        <v>121.47392921294306</v>
      </c>
      <c r="AF14" s="546">
        <f t="shared" si="18"/>
        <v>2.8524639175257726E-2</v>
      </c>
      <c r="AH14" s="179">
        <f t="shared" si="19"/>
        <v>0.23483810629923918</v>
      </c>
      <c r="AI14" s="179">
        <f t="shared" si="20"/>
        <v>0.28999999999999998</v>
      </c>
      <c r="AJ14" s="179">
        <f t="shared" si="21"/>
        <v>1.0694136738359674</v>
      </c>
      <c r="AL14" s="563">
        <f t="shared" si="22"/>
        <v>9.8999999999999986</v>
      </c>
      <c r="AM14" s="472">
        <f t="shared" si="23"/>
        <v>121.47392921294306</v>
      </c>
      <c r="AO14">
        <f t="shared" si="49"/>
        <v>9.8999999999999986</v>
      </c>
      <c r="AP14" s="472">
        <f t="shared" si="24"/>
        <v>121.47392921294306</v>
      </c>
      <c r="AQ14" s="472"/>
      <c r="AR14" s="6">
        <f t="shared" si="50"/>
        <v>8.2322190981984793</v>
      </c>
      <c r="AS14" s="6">
        <f t="shared" si="25"/>
        <v>1.1358333333333333</v>
      </c>
      <c r="AT14" s="6">
        <f t="shared" si="51"/>
        <v>7.0963857648651461</v>
      </c>
      <c r="AU14" s="179">
        <f t="shared" si="52"/>
        <v>0.13797413793103447</v>
      </c>
      <c r="AW14" s="6">
        <f t="shared" si="26"/>
        <v>4.6853124999999989E-2</v>
      </c>
      <c r="AX14" s="6">
        <f t="shared" si="27"/>
        <v>0.17037499999999997</v>
      </c>
      <c r="AY14" s="6">
        <f t="shared" si="28"/>
        <v>0.24650603183215766</v>
      </c>
      <c r="AZ14" s="6"/>
      <c r="BA14" s="179">
        <f t="shared" si="53"/>
        <v>6.2192242281493594E-2</v>
      </c>
      <c r="BB14" s="179">
        <f t="shared" si="29"/>
        <v>0.15545243109496015</v>
      </c>
      <c r="BC14" s="179">
        <f t="shared" si="30"/>
        <v>0.27975669417831417</v>
      </c>
      <c r="BD14" s="179"/>
      <c r="BE14" s="546">
        <f t="shared" si="31"/>
        <v>1.3537562499999997E-3</v>
      </c>
      <c r="BF14" s="546">
        <f t="shared" si="32"/>
        <v>9.5774601063829765E-3</v>
      </c>
      <c r="BG14" s="546">
        <f t="shared" si="33"/>
        <v>1.5184241151617883E-3</v>
      </c>
      <c r="BH14" s="546">
        <f t="shared" si="34"/>
        <v>7.9812167553191503E-3</v>
      </c>
      <c r="BI14">
        <f t="shared" si="35"/>
        <v>3.48E-3</v>
      </c>
      <c r="BJ14">
        <f t="shared" si="36"/>
        <v>2.3922078512697214E-2</v>
      </c>
      <c r="BK14" s="472">
        <f t="shared" si="54"/>
        <v>23.922078512697215</v>
      </c>
      <c r="BL14" s="179">
        <f t="shared" si="37"/>
        <v>2.9699999999999996E-3</v>
      </c>
      <c r="BM14" s="179">
        <f t="shared" si="38"/>
        <v>5.3999999999999994E-3</v>
      </c>
      <c r="BN14" s="546"/>
      <c r="BP14" s="472">
        <f t="shared" si="55"/>
        <v>8.3699999999999992</v>
      </c>
      <c r="BQ14" s="546">
        <f t="shared" si="39"/>
        <v>7.7357499999999987E-4</v>
      </c>
      <c r="BR14" s="546">
        <f t="shared" si="56"/>
        <v>4.8330916666666675E-3</v>
      </c>
      <c r="BS14" s="546">
        <f t="shared" si="40"/>
        <v>7.8263807937578797E-3</v>
      </c>
      <c r="BT14" s="546">
        <f t="shared" si="41"/>
        <v>3.6827538970286681E-4</v>
      </c>
      <c r="BU14" s="546">
        <f t="shared" si="42"/>
        <v>1.3816170311849044E-2</v>
      </c>
      <c r="BV14" s="656">
        <f t="shared" si="43"/>
        <v>1.8899521276595746E-3</v>
      </c>
      <c r="BW14" s="472">
        <f t="shared" si="57"/>
        <v>15.70612243950862</v>
      </c>
      <c r="BX14" s="179">
        <f t="shared" si="58"/>
        <v>4.7998200952205833E-2</v>
      </c>
      <c r="BY14" s="6">
        <f t="shared" si="59"/>
        <v>0.45359999999999995</v>
      </c>
      <c r="BZ14" s="179">
        <f t="shared" si="60"/>
        <v>0.90430946350866348</v>
      </c>
      <c r="CA14" s="6">
        <f t="shared" si="61"/>
        <v>90.43094635086635</v>
      </c>
      <c r="CB14">
        <f t="shared" si="62"/>
        <v>9</v>
      </c>
      <c r="CD14" s="581">
        <f t="shared" si="44"/>
        <v>-50</v>
      </c>
      <c r="CE14">
        <f t="shared" si="45"/>
        <v>-50</v>
      </c>
    </row>
    <row r="15" spans="2:83" x14ac:dyDescent="0.2">
      <c r="E15" s="176">
        <v>10</v>
      </c>
      <c r="F15" s="223">
        <f t="shared" si="63"/>
        <v>1.1000000000000001E-2</v>
      </c>
      <c r="G15" s="223">
        <f t="shared" si="46"/>
        <v>2.0000000000000004E-2</v>
      </c>
      <c r="H15" s="223">
        <f t="shared" si="0"/>
        <v>0.26400000000000001</v>
      </c>
      <c r="I15" s="223">
        <f t="shared" si="64"/>
        <v>0.24000000000000005</v>
      </c>
      <c r="J15" s="559">
        <f t="shared" si="1"/>
        <v>12</v>
      </c>
      <c r="K15" s="454">
        <f t="shared" si="2"/>
        <v>24.25</v>
      </c>
      <c r="L15" s="454">
        <f t="shared" si="3"/>
        <v>36.25</v>
      </c>
      <c r="M15" s="454"/>
      <c r="N15" s="223">
        <f t="shared" si="4"/>
        <v>0.66896551724137931</v>
      </c>
      <c r="O15" s="178">
        <f t="shared" si="47"/>
        <v>2.8961428571428565</v>
      </c>
      <c r="P15" s="178">
        <f t="shared" si="5"/>
        <v>5.0263636363636364</v>
      </c>
      <c r="Q15" s="223">
        <f t="shared" si="6"/>
        <v>0.12067261904761901</v>
      </c>
      <c r="R15" s="223">
        <f t="shared" si="7"/>
        <v>0.24134523809523803</v>
      </c>
      <c r="S15" s="454">
        <f t="shared" si="8"/>
        <v>24</v>
      </c>
      <c r="T15" s="223">
        <f t="shared" si="9"/>
        <v>0.13217580032555618</v>
      </c>
      <c r="U15" s="223">
        <f t="shared" si="10"/>
        <v>0.51768855127509505</v>
      </c>
      <c r="V15" s="223">
        <f t="shared" si="11"/>
        <v>0.25617577795056251</v>
      </c>
      <c r="W15" s="203">
        <f t="shared" si="12"/>
        <v>350</v>
      </c>
      <c r="X15" s="454">
        <f t="shared" si="48"/>
        <v>350</v>
      </c>
      <c r="Z15" s="223">
        <f t="shared" si="13"/>
        <v>0.48799916151346817</v>
      </c>
      <c r="AA15" s="179">
        <f t="shared" si="14"/>
        <v>0.94581280788177335</v>
      </c>
      <c r="AB15" s="179">
        <f t="shared" si="15"/>
        <v>8.077227500912576E-2</v>
      </c>
      <c r="AC15" s="179"/>
      <c r="AD15" s="179">
        <f t="shared" si="16"/>
        <v>0.56206185567010303</v>
      </c>
      <c r="AE15" s="563">
        <f t="shared" si="17"/>
        <v>134.97103245882565</v>
      </c>
      <c r="AF15" s="546">
        <f t="shared" si="18"/>
        <v>2.8524639175257726E-2</v>
      </c>
      <c r="AH15" s="179">
        <f t="shared" si="19"/>
        <v>0.24754109910211042</v>
      </c>
      <c r="AI15" s="179">
        <f t="shared" si="20"/>
        <v>0.28999999999999998</v>
      </c>
      <c r="AJ15" s="179">
        <f t="shared" si="21"/>
        <v>1.0771263042621861</v>
      </c>
      <c r="AL15" s="563">
        <f t="shared" si="22"/>
        <v>11.000000000000002</v>
      </c>
      <c r="AM15" s="472">
        <f t="shared" si="23"/>
        <v>134.97103245882565</v>
      </c>
      <c r="AO15">
        <f t="shared" si="49"/>
        <v>11.000000000000002</v>
      </c>
      <c r="AP15" s="472">
        <f t="shared" si="24"/>
        <v>134.97103245882565</v>
      </c>
      <c r="AQ15" s="472"/>
      <c r="AR15" s="6">
        <f t="shared" si="50"/>
        <v>7.4089971883786303</v>
      </c>
      <c r="AS15" s="6">
        <f t="shared" si="25"/>
        <v>1.1358333333333333</v>
      </c>
      <c r="AT15" s="6">
        <f t="shared" si="51"/>
        <v>6.2731638550452971</v>
      </c>
      <c r="AU15" s="179">
        <f t="shared" si="52"/>
        <v>0.15330459770114943</v>
      </c>
      <c r="AW15" s="6">
        <f t="shared" si="26"/>
        <v>5.205902777777778E-2</v>
      </c>
      <c r="AX15" s="6">
        <f t="shared" si="27"/>
        <v>0.18930555555555556</v>
      </c>
      <c r="AY15" s="6">
        <f t="shared" si="28"/>
        <v>0.24212211370350273</v>
      </c>
      <c r="AZ15" s="6"/>
      <c r="BA15" s="179">
        <f t="shared" si="53"/>
        <v>6.555637946751551E-2</v>
      </c>
      <c r="BB15" s="179">
        <f t="shared" si="29"/>
        <v>0.15406392973192798</v>
      </c>
      <c r="BC15" s="179">
        <f t="shared" si="30"/>
        <v>0.27725790693872016</v>
      </c>
      <c r="BD15" s="179"/>
      <c r="BE15" s="546">
        <f t="shared" si="31"/>
        <v>1.5041736111111111E-3</v>
      </c>
      <c r="BF15" s="546">
        <f t="shared" si="32"/>
        <v>1.0641622340425533E-2</v>
      </c>
      <c r="BG15" s="546">
        <f t="shared" si="33"/>
        <v>1.6871379057353205E-3</v>
      </c>
      <c r="BH15" s="546">
        <f t="shared" si="34"/>
        <v>8.8680186170212796E-3</v>
      </c>
      <c r="BI15">
        <f t="shared" si="35"/>
        <v>3.48E-3</v>
      </c>
      <c r="BJ15">
        <f t="shared" si="36"/>
        <v>2.6194605001734636E-2</v>
      </c>
      <c r="BK15" s="472">
        <f t="shared" si="54"/>
        <v>26.194605001734637</v>
      </c>
      <c r="BL15" s="179">
        <f t="shared" si="37"/>
        <v>3.3000000000000004E-3</v>
      </c>
      <c r="BM15" s="179">
        <f t="shared" si="38"/>
        <v>6.000000000000001E-3</v>
      </c>
      <c r="BN15" s="546"/>
      <c r="BP15" s="472">
        <f t="shared" si="55"/>
        <v>9.3000000000000007</v>
      </c>
      <c r="BQ15" s="546">
        <f t="shared" si="39"/>
        <v>8.5952777777777785E-4</v>
      </c>
      <c r="BR15" s="546">
        <f t="shared" si="56"/>
        <v>4.7471388888888884E-3</v>
      </c>
      <c r="BS15" s="546">
        <f t="shared" si="40"/>
        <v>7.6871946960040006E-3</v>
      </c>
      <c r="BT15" s="546">
        <f t="shared" si="41"/>
        <v>4.7925474800295393E-4</v>
      </c>
      <c r="BU15" s="546">
        <f t="shared" si="42"/>
        <v>1.3787779537046786E-2</v>
      </c>
      <c r="BV15" s="656">
        <f t="shared" si="43"/>
        <v>2.0999468085106388E-3</v>
      </c>
      <c r="BW15" s="472">
        <f t="shared" si="57"/>
        <v>15.887726345557425</v>
      </c>
      <c r="BX15" s="179">
        <f t="shared" si="58"/>
        <v>5.138233134729206E-2</v>
      </c>
      <c r="BY15" s="6">
        <f t="shared" si="59"/>
        <v>0.504</v>
      </c>
      <c r="BZ15" s="179">
        <f t="shared" si="60"/>
        <v>0.90748295642995236</v>
      </c>
      <c r="CA15" s="6">
        <f t="shared" si="61"/>
        <v>90.748295642995231</v>
      </c>
      <c r="CB15">
        <f t="shared" si="62"/>
        <v>10</v>
      </c>
      <c r="CD15" s="581">
        <f t="shared" si="44"/>
        <v>-50</v>
      </c>
      <c r="CE15">
        <f t="shared" si="45"/>
        <v>-50</v>
      </c>
    </row>
    <row r="16" spans="2:83" x14ac:dyDescent="0.2">
      <c r="E16" s="176">
        <v>11</v>
      </c>
      <c r="F16" s="223">
        <f t="shared" si="63"/>
        <v>1.21E-2</v>
      </c>
      <c r="G16" s="223">
        <f t="shared" si="46"/>
        <v>2.2000000000000002E-2</v>
      </c>
      <c r="H16" s="223">
        <f t="shared" si="0"/>
        <v>0.29039999999999999</v>
      </c>
      <c r="I16" s="223">
        <f t="shared" si="64"/>
        <v>0.26400000000000001</v>
      </c>
      <c r="J16" s="559">
        <f t="shared" si="1"/>
        <v>12</v>
      </c>
      <c r="K16" s="454">
        <f t="shared" si="2"/>
        <v>24.25</v>
      </c>
      <c r="L16" s="454">
        <f t="shared" si="3"/>
        <v>36.25</v>
      </c>
      <c r="M16" s="454"/>
      <c r="N16" s="223">
        <f t="shared" si="4"/>
        <v>0.66896551724137931</v>
      </c>
      <c r="O16" s="178">
        <f t="shared" si="47"/>
        <v>2.8961428571428565</v>
      </c>
      <c r="P16" s="178">
        <f t="shared" si="5"/>
        <v>5.0263636363636364</v>
      </c>
      <c r="Q16" s="223">
        <f t="shared" si="6"/>
        <v>0.12067261904761901</v>
      </c>
      <c r="R16" s="223">
        <f t="shared" si="7"/>
        <v>0.24134523809523803</v>
      </c>
      <c r="S16" s="454">
        <f t="shared" si="8"/>
        <v>24</v>
      </c>
      <c r="T16" s="223">
        <f t="shared" si="9"/>
        <v>0.14539338035811178</v>
      </c>
      <c r="U16" s="223">
        <f t="shared" si="10"/>
        <v>0.56945740640260445</v>
      </c>
      <c r="V16" s="223">
        <f t="shared" si="11"/>
        <v>0.2817933557456187</v>
      </c>
      <c r="W16" s="203">
        <f t="shared" si="12"/>
        <v>350</v>
      </c>
      <c r="X16" s="454">
        <f t="shared" si="48"/>
        <v>350</v>
      </c>
      <c r="Z16" s="223">
        <f t="shared" si="13"/>
        <v>0.48799916151346817</v>
      </c>
      <c r="AA16" s="179">
        <f t="shared" si="14"/>
        <v>0.94581280788177335</v>
      </c>
      <c r="AB16" s="179">
        <f t="shared" si="15"/>
        <v>8.077227500912576E-2</v>
      </c>
      <c r="AC16" s="179"/>
      <c r="AD16" s="179">
        <f t="shared" si="16"/>
        <v>0.56206185567010303</v>
      </c>
      <c r="AE16" s="563">
        <f t="shared" si="17"/>
        <v>148.4681357047082</v>
      </c>
      <c r="AF16" s="546">
        <f t="shared" si="18"/>
        <v>2.8524639175257726E-2</v>
      </c>
      <c r="AH16" s="179">
        <f t="shared" si="19"/>
        <v>0.25962329502405779</v>
      </c>
      <c r="AI16" s="179">
        <f t="shared" si="20"/>
        <v>0.28999999999999998</v>
      </c>
      <c r="AJ16" s="179">
        <f t="shared" si="21"/>
        <v>1.0848389346884046</v>
      </c>
      <c r="AL16" s="563">
        <f t="shared" si="22"/>
        <v>12.1</v>
      </c>
      <c r="AM16" s="472">
        <f t="shared" si="23"/>
        <v>148.4681357047082</v>
      </c>
      <c r="AO16">
        <f t="shared" si="49"/>
        <v>12.1</v>
      </c>
      <c r="AP16" s="472">
        <f t="shared" si="24"/>
        <v>148.4681357047082</v>
      </c>
      <c r="AQ16" s="472"/>
      <c r="AR16" s="6">
        <f t="shared" si="50"/>
        <v>6.7354519894351181</v>
      </c>
      <c r="AS16" s="6">
        <f t="shared" si="25"/>
        <v>1.1358333333333333</v>
      </c>
      <c r="AT16" s="6">
        <f t="shared" si="51"/>
        <v>5.5996186561017849</v>
      </c>
      <c r="AU16" s="179">
        <f t="shared" si="52"/>
        <v>0.16863505747126439</v>
      </c>
      <c r="AW16" s="6">
        <f t="shared" si="26"/>
        <v>5.7264930555555552E-2</v>
      </c>
      <c r="AX16" s="6">
        <f t="shared" si="27"/>
        <v>0.20823611111111112</v>
      </c>
      <c r="AY16" s="6">
        <f t="shared" si="28"/>
        <v>0.23773819557484765</v>
      </c>
      <c r="AZ16" s="6"/>
      <c r="BA16" s="179">
        <f t="shared" si="53"/>
        <v>6.8756110839530316E-2</v>
      </c>
      <c r="BB16" s="179">
        <f t="shared" si="29"/>
        <v>0.15266280016937836</v>
      </c>
      <c r="BC16" s="179">
        <f t="shared" si="30"/>
        <v>0.27473639362578295</v>
      </c>
      <c r="BD16" s="179"/>
      <c r="BE16" s="546">
        <f t="shared" si="31"/>
        <v>1.6545909722222223E-3</v>
      </c>
      <c r="BF16" s="546">
        <f t="shared" si="32"/>
        <v>1.1705784574468086E-2</v>
      </c>
      <c r="BG16" s="546">
        <f t="shared" si="33"/>
        <v>1.8558516963088523E-3</v>
      </c>
      <c r="BH16" s="546">
        <f t="shared" si="34"/>
        <v>9.7548204787234073E-3</v>
      </c>
      <c r="BI16">
        <f t="shared" si="35"/>
        <v>3.48E-3</v>
      </c>
      <c r="BJ16">
        <f t="shared" si="36"/>
        <v>2.8467368513074895E-2</v>
      </c>
      <c r="BK16" s="472">
        <f t="shared" si="54"/>
        <v>28.467368513074895</v>
      </c>
      <c r="BL16" s="179">
        <f t="shared" si="37"/>
        <v>3.6299999999999995E-3</v>
      </c>
      <c r="BM16" s="179">
        <f t="shared" si="38"/>
        <v>6.6000000000000008E-3</v>
      </c>
      <c r="BN16" s="546"/>
      <c r="BP16" s="472">
        <f t="shared" si="55"/>
        <v>10.229999999999999</v>
      </c>
      <c r="BQ16" s="546">
        <f t="shared" si="39"/>
        <v>9.4548055555555572E-4</v>
      </c>
      <c r="BR16" s="546">
        <f t="shared" si="56"/>
        <v>4.6611861111111102E-3</v>
      </c>
      <c r="BS16" s="546">
        <f t="shared" si="40"/>
        <v>7.5480085982501154E-3</v>
      </c>
      <c r="BT16" s="546">
        <f t="shared" si="41"/>
        <v>6.0820241048199601E-4</v>
      </c>
      <c r="BU16" s="546">
        <f t="shared" si="42"/>
        <v>1.3777376628642956E-2</v>
      </c>
      <c r="BV16" s="656">
        <f t="shared" si="43"/>
        <v>2.3099414893617029E-3</v>
      </c>
      <c r="BW16" s="472">
        <f t="shared" si="57"/>
        <v>16.087318118004656</v>
      </c>
      <c r="BX16" s="179">
        <f t="shared" si="58"/>
        <v>5.4784686631079556E-2</v>
      </c>
      <c r="BY16" s="6">
        <f t="shared" si="59"/>
        <v>0.5544</v>
      </c>
      <c r="BZ16" s="179">
        <f t="shared" si="60"/>
        <v>0.91006883818099482</v>
      </c>
      <c r="CA16" s="6">
        <f t="shared" si="61"/>
        <v>91.006883818099482</v>
      </c>
      <c r="CB16">
        <f t="shared" si="62"/>
        <v>11</v>
      </c>
      <c r="CD16" s="581">
        <f t="shared" si="44"/>
        <v>-50</v>
      </c>
      <c r="CE16">
        <f t="shared" si="45"/>
        <v>-50</v>
      </c>
    </row>
    <row r="17" spans="5:83" x14ac:dyDescent="0.2">
      <c r="E17" s="176">
        <v>12</v>
      </c>
      <c r="F17" s="223">
        <f t="shared" si="63"/>
        <v>1.32E-2</v>
      </c>
      <c r="G17" s="223">
        <f t="shared" si="46"/>
        <v>2.4E-2</v>
      </c>
      <c r="H17" s="223">
        <f t="shared" si="0"/>
        <v>0.31679999999999997</v>
      </c>
      <c r="I17" s="223">
        <f t="shared" si="64"/>
        <v>0.28800000000000003</v>
      </c>
      <c r="J17" s="559">
        <f t="shared" si="1"/>
        <v>12</v>
      </c>
      <c r="K17" s="454">
        <f t="shared" si="2"/>
        <v>24.25</v>
      </c>
      <c r="L17" s="454">
        <f t="shared" si="3"/>
        <v>36.25</v>
      </c>
      <c r="M17" s="454"/>
      <c r="N17" s="223">
        <f t="shared" si="4"/>
        <v>0.66896551724137931</v>
      </c>
      <c r="O17" s="178">
        <f t="shared" si="47"/>
        <v>2.8961428571428565</v>
      </c>
      <c r="P17" s="178">
        <f t="shared" si="5"/>
        <v>5.0263636363636364</v>
      </c>
      <c r="Q17" s="223">
        <f t="shared" si="6"/>
        <v>0.12067261904761901</v>
      </c>
      <c r="R17" s="223">
        <f t="shared" si="7"/>
        <v>0.24134523809523803</v>
      </c>
      <c r="S17" s="454">
        <f t="shared" si="8"/>
        <v>24</v>
      </c>
      <c r="T17" s="223">
        <f t="shared" si="9"/>
        <v>0.15861096039066741</v>
      </c>
      <c r="U17" s="223">
        <f t="shared" si="10"/>
        <v>0.62122626153011395</v>
      </c>
      <c r="V17" s="223">
        <f t="shared" si="11"/>
        <v>0.30741093354067495</v>
      </c>
      <c r="W17" s="203">
        <f t="shared" si="12"/>
        <v>350</v>
      </c>
      <c r="X17" s="454">
        <f t="shared" si="48"/>
        <v>350</v>
      </c>
      <c r="Z17" s="223">
        <f t="shared" si="13"/>
        <v>0.48799916151346817</v>
      </c>
      <c r="AA17" s="179">
        <f t="shared" si="14"/>
        <v>0.94581280788177335</v>
      </c>
      <c r="AB17" s="179">
        <f t="shared" si="15"/>
        <v>8.077227500912576E-2</v>
      </c>
      <c r="AC17" s="179"/>
      <c r="AD17" s="179">
        <f t="shared" si="16"/>
        <v>0.56206185567010303</v>
      </c>
      <c r="AE17" s="563">
        <f t="shared" si="17"/>
        <v>161.96523895059079</v>
      </c>
      <c r="AF17" s="546">
        <f t="shared" si="18"/>
        <v>2.8524639175257726E-2</v>
      </c>
      <c r="AH17" s="179">
        <f t="shared" si="19"/>
        <v>0.27116768777569539</v>
      </c>
      <c r="AI17" s="179">
        <f t="shared" si="20"/>
        <v>0.28999999999999998</v>
      </c>
      <c r="AJ17" s="179">
        <f t="shared" si="21"/>
        <v>1.0925515651146234</v>
      </c>
      <c r="AL17" s="563">
        <f t="shared" si="22"/>
        <v>13.2</v>
      </c>
      <c r="AM17" s="472">
        <f t="shared" si="23"/>
        <v>161.96523895059079</v>
      </c>
      <c r="AO17">
        <f t="shared" si="49"/>
        <v>13.2</v>
      </c>
      <c r="AP17" s="472">
        <f t="shared" si="24"/>
        <v>161.96523895059079</v>
      </c>
      <c r="AQ17" s="472"/>
      <c r="AR17" s="6">
        <f t="shared" si="50"/>
        <v>6.1741643236488581</v>
      </c>
      <c r="AS17" s="6">
        <f t="shared" si="25"/>
        <v>1.1358333333333333</v>
      </c>
      <c r="AT17" s="6">
        <f t="shared" si="51"/>
        <v>5.0383309903155249</v>
      </c>
      <c r="AU17" s="179">
        <f t="shared" si="52"/>
        <v>0.18396551724137936</v>
      </c>
      <c r="AW17" s="6">
        <f t="shared" si="26"/>
        <v>6.247083333333333E-2</v>
      </c>
      <c r="AX17" s="6">
        <f t="shared" si="27"/>
        <v>0.22716666666666666</v>
      </c>
      <c r="AY17" s="6">
        <f t="shared" si="28"/>
        <v>0.23335427744619272</v>
      </c>
      <c r="AZ17" s="6"/>
      <c r="BA17" s="179">
        <f t="shared" si="53"/>
        <v>7.1813415645453516E-2</v>
      </c>
      <c r="BB17" s="179">
        <f t="shared" si="29"/>
        <v>0.15124869145439462</v>
      </c>
      <c r="BC17" s="179">
        <f t="shared" si="30"/>
        <v>0.27219152265447644</v>
      </c>
      <c r="BD17" s="179"/>
      <c r="BE17" s="546">
        <f t="shared" si="31"/>
        <v>1.8050083333333335E-3</v>
      </c>
      <c r="BF17" s="546">
        <f t="shared" si="32"/>
        <v>1.2769946808510641E-2</v>
      </c>
      <c r="BG17" s="546">
        <f t="shared" si="33"/>
        <v>2.0245654868823845E-3</v>
      </c>
      <c r="BH17" s="546">
        <f t="shared" si="34"/>
        <v>1.0641622340425537E-2</v>
      </c>
      <c r="BI17">
        <f t="shared" si="35"/>
        <v>3.48E-3</v>
      </c>
      <c r="BJ17">
        <f t="shared" si="36"/>
        <v>3.0740369083801719E-2</v>
      </c>
      <c r="BK17" s="472">
        <f t="shared" si="54"/>
        <v>30.740369083801721</v>
      </c>
      <c r="BL17" s="179">
        <f t="shared" si="37"/>
        <v>3.96E-3</v>
      </c>
      <c r="BM17" s="179">
        <f t="shared" si="38"/>
        <v>7.1999999999999998E-3</v>
      </c>
      <c r="BN17" s="546"/>
      <c r="BP17" s="472">
        <f t="shared" si="55"/>
        <v>11.16</v>
      </c>
      <c r="BQ17" s="546">
        <f t="shared" si="39"/>
        <v>1.0314333333333336E-3</v>
      </c>
      <c r="BR17" s="546">
        <f t="shared" si="56"/>
        <v>4.5752333333333338E-3</v>
      </c>
      <c r="BS17" s="546">
        <f t="shared" si="40"/>
        <v>7.4088225004962363E-3</v>
      </c>
      <c r="BT17" s="546">
        <f t="shared" si="41"/>
        <v>7.5599607246529536E-4</v>
      </c>
      <c r="BU17" s="546">
        <f t="shared" si="42"/>
        <v>1.3785839595301231E-2</v>
      </c>
      <c r="BV17" s="656">
        <f t="shared" si="43"/>
        <v>2.519936170212767E-3</v>
      </c>
      <c r="BW17" s="472">
        <f t="shared" si="57"/>
        <v>16.305775765513996</v>
      </c>
      <c r="BX17" s="179">
        <f t="shared" si="58"/>
        <v>5.8206144849315716E-2</v>
      </c>
      <c r="BY17" s="6">
        <f t="shared" si="59"/>
        <v>0.6048</v>
      </c>
      <c r="BZ17" s="179">
        <f t="shared" si="60"/>
        <v>0.91220873999207885</v>
      </c>
      <c r="CA17" s="6">
        <f t="shared" si="61"/>
        <v>91.220873999207882</v>
      </c>
      <c r="CB17">
        <f t="shared" si="62"/>
        <v>12</v>
      </c>
      <c r="CD17" s="581">
        <f t="shared" si="44"/>
        <v>-50</v>
      </c>
      <c r="CE17">
        <f t="shared" si="45"/>
        <v>-50</v>
      </c>
    </row>
    <row r="18" spans="5:83" x14ac:dyDescent="0.2">
      <c r="E18" s="176">
        <v>13</v>
      </c>
      <c r="F18" s="223">
        <f t="shared" si="63"/>
        <v>1.43E-2</v>
      </c>
      <c r="G18" s="223">
        <f t="shared" si="46"/>
        <v>2.6000000000000002E-2</v>
      </c>
      <c r="H18" s="223">
        <f t="shared" si="0"/>
        <v>0.34320000000000001</v>
      </c>
      <c r="I18" s="223">
        <f t="shared" si="64"/>
        <v>0.31200000000000006</v>
      </c>
      <c r="J18" s="559">
        <f t="shared" si="1"/>
        <v>12</v>
      </c>
      <c r="K18" s="454">
        <f t="shared" si="2"/>
        <v>24.25</v>
      </c>
      <c r="L18" s="454">
        <f t="shared" si="3"/>
        <v>36.25</v>
      </c>
      <c r="M18" s="454"/>
      <c r="N18" s="223">
        <f t="shared" si="4"/>
        <v>0.66896551724137931</v>
      </c>
      <c r="O18" s="178">
        <f t="shared" si="47"/>
        <v>2.8961428571428565</v>
      </c>
      <c r="P18" s="178">
        <f t="shared" si="5"/>
        <v>5.0263636363636364</v>
      </c>
      <c r="Q18" s="223">
        <f t="shared" si="6"/>
        <v>0.12067261904761901</v>
      </c>
      <c r="R18" s="223">
        <f t="shared" si="7"/>
        <v>0.24134523809523803</v>
      </c>
      <c r="S18" s="454">
        <f t="shared" si="8"/>
        <v>24</v>
      </c>
      <c r="T18" s="223">
        <f t="shared" si="9"/>
        <v>0.17182854042322301</v>
      </c>
      <c r="U18" s="223">
        <f t="shared" si="10"/>
        <v>0.67299511665762346</v>
      </c>
      <c r="V18" s="223">
        <f t="shared" si="11"/>
        <v>0.33302851133573119</v>
      </c>
      <c r="W18" s="203">
        <f t="shared" si="12"/>
        <v>350</v>
      </c>
      <c r="X18" s="454">
        <f t="shared" si="48"/>
        <v>350</v>
      </c>
      <c r="Z18" s="223">
        <f t="shared" si="13"/>
        <v>0.48799916151346817</v>
      </c>
      <c r="AA18" s="179">
        <f t="shared" si="14"/>
        <v>0.94581280788177335</v>
      </c>
      <c r="AB18" s="179">
        <f t="shared" si="15"/>
        <v>8.077227500912576E-2</v>
      </c>
      <c r="AC18" s="179"/>
      <c r="AD18" s="179">
        <f t="shared" si="16"/>
        <v>0.56206185567010303</v>
      </c>
      <c r="AE18" s="563">
        <f t="shared" si="17"/>
        <v>175.46234219647332</v>
      </c>
      <c r="AF18" s="546">
        <f t="shared" si="18"/>
        <v>2.8524639175257726E-2</v>
      </c>
      <c r="AH18" s="179">
        <f t="shared" si="19"/>
        <v>0.28224027789825662</v>
      </c>
      <c r="AI18" s="179">
        <f t="shared" si="20"/>
        <v>0.28999999999999998</v>
      </c>
      <c r="AJ18" s="179">
        <f t="shared" si="21"/>
        <v>1.1002641955408419</v>
      </c>
      <c r="AL18" s="563">
        <f t="shared" si="22"/>
        <v>14.3</v>
      </c>
      <c r="AM18" s="472">
        <f t="shared" si="23"/>
        <v>175.46234219647332</v>
      </c>
      <c r="AO18">
        <f t="shared" si="49"/>
        <v>14.3</v>
      </c>
      <c r="AP18" s="472">
        <f t="shared" si="24"/>
        <v>175.46234219647332</v>
      </c>
      <c r="AQ18" s="472"/>
      <c r="AR18" s="6">
        <f t="shared" si="50"/>
        <v>5.6992286064451001</v>
      </c>
      <c r="AS18" s="6">
        <f t="shared" si="25"/>
        <v>1.1358333333333333</v>
      </c>
      <c r="AT18" s="6">
        <f t="shared" si="51"/>
        <v>4.5633952731117668</v>
      </c>
      <c r="AU18" s="179">
        <f t="shared" si="52"/>
        <v>0.19929597701149429</v>
      </c>
      <c r="AW18" s="6">
        <f t="shared" si="26"/>
        <v>6.7676736111111108E-2</v>
      </c>
      <c r="AX18" s="6">
        <f t="shared" si="27"/>
        <v>0.24609722222222224</v>
      </c>
      <c r="AY18" s="6">
        <f t="shared" si="28"/>
        <v>0.22897035931753773</v>
      </c>
      <c r="AZ18" s="6"/>
      <c r="BA18" s="179">
        <f t="shared" si="53"/>
        <v>7.4745772827334897E-2</v>
      </c>
      <c r="BB18" s="179">
        <f t="shared" si="29"/>
        <v>0.14982123607078462</v>
      </c>
      <c r="BC18" s="179">
        <f t="shared" si="30"/>
        <v>0.26962263263202435</v>
      </c>
      <c r="BD18" s="179"/>
      <c r="BE18" s="546">
        <f t="shared" si="31"/>
        <v>1.9554256944444444E-3</v>
      </c>
      <c r="BF18" s="546">
        <f t="shared" si="32"/>
        <v>1.3834109042553191E-2</v>
      </c>
      <c r="BG18" s="546">
        <f t="shared" si="33"/>
        <v>2.1932792774559161E-3</v>
      </c>
      <c r="BH18" s="546">
        <f t="shared" si="34"/>
        <v>1.1528424202127662E-2</v>
      </c>
      <c r="BI18">
        <f t="shared" si="35"/>
        <v>3.48E-3</v>
      </c>
      <c r="BJ18">
        <f t="shared" si="36"/>
        <v>3.3013606751006563E-2</v>
      </c>
      <c r="BK18" s="472">
        <f t="shared" si="54"/>
        <v>33.013606751006563</v>
      </c>
      <c r="BL18" s="179">
        <f t="shared" si="37"/>
        <v>4.2899999999999995E-3</v>
      </c>
      <c r="BM18" s="179">
        <f t="shared" si="38"/>
        <v>7.8000000000000005E-3</v>
      </c>
      <c r="BN18" s="546"/>
      <c r="BP18" s="472">
        <f t="shared" si="55"/>
        <v>12.09</v>
      </c>
      <c r="BQ18" s="546">
        <f t="shared" si="39"/>
        <v>1.1173861111111111E-3</v>
      </c>
      <c r="BR18" s="546">
        <f t="shared" si="56"/>
        <v>4.4892805555555556E-3</v>
      </c>
      <c r="BS18" s="546">
        <f t="shared" si="40"/>
        <v>7.2696364027423563E-3</v>
      </c>
      <c r="BT18" s="546">
        <f t="shared" si="41"/>
        <v>9.2347428139923277E-4</v>
      </c>
      <c r="BU18" s="546">
        <f t="shared" si="42"/>
        <v>1.3814007218291914E-2</v>
      </c>
      <c r="BV18" s="656">
        <f t="shared" si="43"/>
        <v>2.7299308510638299E-3</v>
      </c>
      <c r="BW18" s="472">
        <f t="shared" si="57"/>
        <v>16.543938069355743</v>
      </c>
      <c r="BX18" s="179">
        <f t="shared" si="58"/>
        <v>6.1647544820362311E-2</v>
      </c>
      <c r="BY18" s="6">
        <f t="shared" si="59"/>
        <v>0.6552</v>
      </c>
      <c r="BZ18" s="179">
        <f t="shared" si="60"/>
        <v>0.91400187492333429</v>
      </c>
      <c r="CA18" s="6">
        <f t="shared" si="61"/>
        <v>91.40018749233343</v>
      </c>
      <c r="CB18">
        <f t="shared" si="62"/>
        <v>13</v>
      </c>
      <c r="CD18" s="581">
        <f t="shared" si="44"/>
        <v>-50</v>
      </c>
      <c r="CE18">
        <f t="shared" si="45"/>
        <v>-50</v>
      </c>
    </row>
    <row r="19" spans="5:83" x14ac:dyDescent="0.2">
      <c r="E19" s="176">
        <v>14</v>
      </c>
      <c r="F19" s="223">
        <f t="shared" si="63"/>
        <v>1.5400000000000002E-2</v>
      </c>
      <c r="G19" s="223">
        <f t="shared" si="46"/>
        <v>2.8000000000000004E-2</v>
      </c>
      <c r="H19" s="223">
        <f t="shared" si="0"/>
        <v>0.36960000000000004</v>
      </c>
      <c r="I19" s="223">
        <f t="shared" si="64"/>
        <v>0.33600000000000008</v>
      </c>
      <c r="J19" s="559">
        <f t="shared" si="1"/>
        <v>12</v>
      </c>
      <c r="K19" s="454">
        <f t="shared" si="2"/>
        <v>24.25</v>
      </c>
      <c r="L19" s="454">
        <f t="shared" si="3"/>
        <v>36.25</v>
      </c>
      <c r="M19" s="454"/>
      <c r="N19" s="223">
        <f t="shared" si="4"/>
        <v>0.66896551724137931</v>
      </c>
      <c r="O19" s="178">
        <f t="shared" si="47"/>
        <v>2.8961428571428565</v>
      </c>
      <c r="P19" s="178">
        <f t="shared" si="5"/>
        <v>5.0263636363636364</v>
      </c>
      <c r="Q19" s="223">
        <f t="shared" si="6"/>
        <v>0.12067261904761901</v>
      </c>
      <c r="R19" s="223">
        <f t="shared" si="7"/>
        <v>0.24134523809523803</v>
      </c>
      <c r="S19" s="454">
        <f t="shared" si="8"/>
        <v>24</v>
      </c>
      <c r="T19" s="223">
        <f t="shared" si="9"/>
        <v>0.18504612045577867</v>
      </c>
      <c r="U19" s="223">
        <f t="shared" si="10"/>
        <v>0.72476397178513319</v>
      </c>
      <c r="V19" s="223">
        <f t="shared" si="11"/>
        <v>0.35864608913078755</v>
      </c>
      <c r="W19" s="203">
        <f t="shared" si="12"/>
        <v>350</v>
      </c>
      <c r="X19" s="454">
        <f t="shared" si="48"/>
        <v>350</v>
      </c>
      <c r="Z19" s="223">
        <f t="shared" si="13"/>
        <v>0.48799916151346817</v>
      </c>
      <c r="AA19" s="179">
        <f t="shared" si="14"/>
        <v>0.94581280788177335</v>
      </c>
      <c r="AB19" s="179">
        <f t="shared" si="15"/>
        <v>8.077227500912576E-2</v>
      </c>
      <c r="AC19" s="179"/>
      <c r="AD19" s="179">
        <f t="shared" si="16"/>
        <v>0.56206185567010303</v>
      </c>
      <c r="AE19" s="563">
        <f t="shared" si="17"/>
        <v>188.95944544235593</v>
      </c>
      <c r="AF19" s="546">
        <f t="shared" si="18"/>
        <v>2.8524639175257726E-2</v>
      </c>
      <c r="AH19" s="179">
        <f t="shared" si="19"/>
        <v>0.29289457837685084</v>
      </c>
      <c r="AI19" s="179">
        <f t="shared" si="20"/>
        <v>0.29289457837685084</v>
      </c>
      <c r="AJ19" s="179">
        <f t="shared" si="21"/>
        <v>1.1079768259670606</v>
      </c>
      <c r="AL19" s="563">
        <f t="shared" si="22"/>
        <v>15.400000000000002</v>
      </c>
      <c r="AM19" s="472">
        <f t="shared" si="23"/>
        <v>188.95944544235593</v>
      </c>
      <c r="AO19">
        <f t="shared" si="49"/>
        <v>15.400000000000002</v>
      </c>
      <c r="AP19" s="472">
        <f t="shared" si="24"/>
        <v>188.95944544235593</v>
      </c>
      <c r="AQ19" s="472"/>
      <c r="AR19" s="6">
        <f t="shared" si="50"/>
        <v>5.2921408488418775</v>
      </c>
      <c r="AS19" s="6">
        <f t="shared" si="25"/>
        <v>1.1471704319759992</v>
      </c>
      <c r="AT19" s="6">
        <f t="shared" si="51"/>
        <v>4.1449704168658785</v>
      </c>
      <c r="AU19" s="179">
        <f t="shared" si="52"/>
        <v>0.21676868865405272</v>
      </c>
      <c r="AW19" s="6">
        <f t="shared" si="26"/>
        <v>7.3610102718459969E-2</v>
      </c>
      <c r="AX19" s="6">
        <f t="shared" si="27"/>
        <v>0.26767310079439988</v>
      </c>
      <c r="AY19" s="6">
        <f t="shared" si="28"/>
        <v>0.22397384006924398</v>
      </c>
      <c r="AZ19" s="6"/>
      <c r="BA19" s="179">
        <f t="shared" si="53"/>
        <v>7.8731582453004142E-2</v>
      </c>
      <c r="BB19" s="179">
        <f t="shared" si="29"/>
        <v>0.14965654882195059</v>
      </c>
      <c r="BC19" s="179">
        <f t="shared" si="30"/>
        <v>0.26932625669256416</v>
      </c>
      <c r="BD19" s="179"/>
      <c r="BE19" s="546">
        <f t="shared" si="31"/>
        <v>2.1695317264439663E-3</v>
      </c>
      <c r="BF19" s="546">
        <f t="shared" si="32"/>
        <v>1.5046975462422275E-2</v>
      </c>
      <c r="BG19" s="546">
        <f t="shared" si="33"/>
        <v>2.361993068029449E-3</v>
      </c>
      <c r="BH19" s="546">
        <f t="shared" si="34"/>
        <v>1.2415226063829794E-2</v>
      </c>
      <c r="BI19">
        <f t="shared" si="35"/>
        <v>3.48E-3</v>
      </c>
      <c r="BJ19">
        <f t="shared" si="36"/>
        <v>3.5500413498954379E-2</v>
      </c>
      <c r="BK19" s="472">
        <f t="shared" si="54"/>
        <v>35.50041349895438</v>
      </c>
      <c r="BL19" s="179">
        <f t="shared" si="37"/>
        <v>4.6200000000000008E-3</v>
      </c>
      <c r="BM19" s="179">
        <f t="shared" si="38"/>
        <v>8.4000000000000012E-3</v>
      </c>
      <c r="BN19" s="546"/>
      <c r="BP19" s="472">
        <f t="shared" si="55"/>
        <v>13.020000000000001</v>
      </c>
      <c r="BQ19" s="546">
        <f t="shared" si="39"/>
        <v>1.239732415110838E-3</v>
      </c>
      <c r="BR19" s="546">
        <f t="shared" si="56"/>
        <v>4.4794165210593762E-3</v>
      </c>
      <c r="BS19" s="546">
        <f t="shared" si="40"/>
        <v>7.2536632544028968E-3</v>
      </c>
      <c r="BT19" s="546">
        <f t="shared" si="41"/>
        <v>1.1393833020603599E-3</v>
      </c>
      <c r="BU19" s="546">
        <f t="shared" si="42"/>
        <v>1.4126856697335686E-2</v>
      </c>
      <c r="BV19" s="656">
        <f t="shared" si="43"/>
        <v>2.9989070115821748E-3</v>
      </c>
      <c r="BW19" s="472">
        <f t="shared" si="57"/>
        <v>17.125763708917862</v>
      </c>
      <c r="BX19" s="179">
        <f t="shared" si="58"/>
        <v>6.5646177207872233E-2</v>
      </c>
      <c r="BY19" s="6">
        <f t="shared" si="59"/>
        <v>0.70560000000000012</v>
      </c>
      <c r="BZ19" s="179">
        <f t="shared" si="60"/>
        <v>0.91488297881030689</v>
      </c>
      <c r="CA19" s="6">
        <f t="shared" si="61"/>
        <v>91.488297881030689</v>
      </c>
      <c r="CB19">
        <f t="shared" si="62"/>
        <v>14.000000000000002</v>
      </c>
      <c r="CD19" s="581">
        <f t="shared" si="44"/>
        <v>-50</v>
      </c>
      <c r="CE19">
        <f t="shared" si="45"/>
        <v>-50</v>
      </c>
    </row>
    <row r="20" spans="5:83" x14ac:dyDescent="0.2">
      <c r="E20" s="176">
        <v>15</v>
      </c>
      <c r="F20" s="223">
        <f t="shared" si="63"/>
        <v>1.6500000000000001E-2</v>
      </c>
      <c r="G20" s="223">
        <f t="shared" si="46"/>
        <v>0.03</v>
      </c>
      <c r="H20" s="223">
        <f t="shared" si="0"/>
        <v>0.39600000000000002</v>
      </c>
      <c r="I20" s="223">
        <f t="shared" si="64"/>
        <v>0.36</v>
      </c>
      <c r="J20" s="559">
        <f t="shared" si="1"/>
        <v>12</v>
      </c>
      <c r="K20" s="454">
        <f t="shared" si="2"/>
        <v>24.25</v>
      </c>
      <c r="L20" s="454">
        <f t="shared" si="3"/>
        <v>36.25</v>
      </c>
      <c r="M20" s="454"/>
      <c r="N20" s="223">
        <f t="shared" si="4"/>
        <v>0.66896551724137931</v>
      </c>
      <c r="O20" s="178">
        <f t="shared" si="47"/>
        <v>2.8961428571428565</v>
      </c>
      <c r="P20" s="178">
        <f t="shared" si="5"/>
        <v>5.0263636363636364</v>
      </c>
      <c r="Q20" s="223">
        <f t="shared" si="6"/>
        <v>0.12067261904761901</v>
      </c>
      <c r="R20" s="223">
        <f t="shared" si="7"/>
        <v>0.24134523809523803</v>
      </c>
      <c r="S20" s="454">
        <f t="shared" si="8"/>
        <v>24</v>
      </c>
      <c r="T20" s="223">
        <f t="shared" si="9"/>
        <v>0.19826370048833425</v>
      </c>
      <c r="U20" s="223">
        <f t="shared" si="10"/>
        <v>0.77653282691264236</v>
      </c>
      <c r="V20" s="223">
        <f t="shared" si="11"/>
        <v>0.38426366692584363</v>
      </c>
      <c r="W20" s="203">
        <f t="shared" si="12"/>
        <v>350</v>
      </c>
      <c r="X20" s="454">
        <f t="shared" si="48"/>
        <v>350</v>
      </c>
      <c r="Z20" s="223">
        <f t="shared" si="13"/>
        <v>0.48799916151346817</v>
      </c>
      <c r="AA20" s="179">
        <f t="shared" si="14"/>
        <v>0.94581280788177335</v>
      </c>
      <c r="AB20" s="179">
        <f t="shared" si="15"/>
        <v>8.077227500912576E-2</v>
      </c>
      <c r="AC20" s="179"/>
      <c r="AD20" s="179">
        <f t="shared" si="16"/>
        <v>0.56206185567010303</v>
      </c>
      <c r="AE20" s="563">
        <f t="shared" si="17"/>
        <v>202.45654868823843</v>
      </c>
      <c r="AF20" s="546">
        <f t="shared" si="18"/>
        <v>2.8524639175257726E-2</v>
      </c>
      <c r="AH20" s="179">
        <f t="shared" si="19"/>
        <v>0.30317469158394683</v>
      </c>
      <c r="AI20" s="179">
        <f t="shared" si="20"/>
        <v>0.30317469158394683</v>
      </c>
      <c r="AJ20" s="179">
        <f t="shared" si="21"/>
        <v>1.1156894563932791</v>
      </c>
      <c r="AL20" s="563">
        <f t="shared" si="22"/>
        <v>16.5</v>
      </c>
      <c r="AM20" s="472">
        <f t="shared" si="23"/>
        <v>202.45654868823843</v>
      </c>
      <c r="AO20">
        <f t="shared" si="49"/>
        <v>16.5</v>
      </c>
      <c r="AP20" s="472">
        <f t="shared" si="24"/>
        <v>202.45654868823843</v>
      </c>
      <c r="AQ20" s="472"/>
      <c r="AR20" s="6">
        <f t="shared" si="50"/>
        <v>4.9393314589190878</v>
      </c>
      <c r="AS20" s="6">
        <f t="shared" si="25"/>
        <v>1.1874342087037917</v>
      </c>
      <c r="AT20" s="6">
        <f t="shared" si="51"/>
        <v>3.7518972502152961</v>
      </c>
      <c r="AU20" s="179">
        <f t="shared" si="52"/>
        <v>0.24040383168851906</v>
      </c>
      <c r="AW20" s="6">
        <f t="shared" si="26"/>
        <v>8.163610184838567E-2</v>
      </c>
      <c r="AX20" s="6">
        <f t="shared" si="27"/>
        <v>0.29685855217594792</v>
      </c>
      <c r="AY20" s="6">
        <f t="shared" si="28"/>
        <v>0.21721510395983293</v>
      </c>
      <c r="AZ20" s="6"/>
      <c r="BA20" s="179">
        <f t="shared" si="53"/>
        <v>8.5822865280325136E-2</v>
      </c>
      <c r="BB20" s="179">
        <f t="shared" si="29"/>
        <v>0.15255403523806113</v>
      </c>
      <c r="BC20" s="179">
        <f t="shared" si="30"/>
        <v>0.27454065710745695</v>
      </c>
      <c r="BD20" s="179"/>
      <c r="BE20" s="546">
        <f t="shared" si="31"/>
        <v>2.5779474717236928E-3</v>
      </c>
      <c r="BF20" s="546">
        <f t="shared" si="32"/>
        <v>1.668760640178284E-2</v>
      </c>
      <c r="BG20" s="546">
        <f t="shared" si="33"/>
        <v>2.5307068586029801E-3</v>
      </c>
      <c r="BH20" s="546">
        <f t="shared" si="34"/>
        <v>1.3302027925531916E-2</v>
      </c>
      <c r="BI20">
        <f t="shared" si="35"/>
        <v>3.48E-3</v>
      </c>
      <c r="BJ20">
        <f t="shared" si="36"/>
        <v>3.8612779863006062E-2</v>
      </c>
      <c r="BK20" s="472">
        <f t="shared" si="54"/>
        <v>38.612779863006061</v>
      </c>
      <c r="BL20" s="179">
        <f t="shared" si="37"/>
        <v>4.9500000000000004E-3</v>
      </c>
      <c r="BM20" s="179">
        <f t="shared" si="38"/>
        <v>8.9999999999999993E-3</v>
      </c>
      <c r="BN20" s="546"/>
      <c r="BP20" s="472">
        <f t="shared" si="55"/>
        <v>13.950000000000001</v>
      </c>
      <c r="BQ20" s="546">
        <f t="shared" si="39"/>
        <v>1.4731128409849676E-3</v>
      </c>
      <c r="BR20" s="546">
        <f t="shared" si="56"/>
        <v>4.6545467334831196E-3</v>
      </c>
      <c r="BS20" s="546">
        <f t="shared" si="40"/>
        <v>7.5372572404994263E-3</v>
      </c>
      <c r="BT20" s="546">
        <f t="shared" si="41"/>
        <v>1.4758150611501894E-3</v>
      </c>
      <c r="BU20" s="546">
        <f t="shared" si="42"/>
        <v>1.5157301737508296E-2</v>
      </c>
      <c r="BV20" s="656">
        <f t="shared" si="43"/>
        <v>3.4426228449285141E-3</v>
      </c>
      <c r="BW20" s="472">
        <f t="shared" si="57"/>
        <v>18.59992458243681</v>
      </c>
      <c r="BX20" s="179">
        <f t="shared" si="58"/>
        <v>7.116270444544287E-2</v>
      </c>
      <c r="BY20" s="6">
        <f t="shared" si="59"/>
        <v>0.75600000000000001</v>
      </c>
      <c r="BZ20" s="179">
        <f t="shared" si="60"/>
        <v>0.91396770663982896</v>
      </c>
      <c r="CA20" s="6">
        <f t="shared" si="61"/>
        <v>91.396770663982892</v>
      </c>
      <c r="CB20">
        <f t="shared" si="62"/>
        <v>15</v>
      </c>
      <c r="CD20" s="581">
        <f t="shared" si="44"/>
        <v>-50</v>
      </c>
      <c r="CE20">
        <f t="shared" si="45"/>
        <v>-50</v>
      </c>
    </row>
    <row r="21" spans="5:83" s="78" customFormat="1" x14ac:dyDescent="0.2">
      <c r="E21" s="195">
        <v>16</v>
      </c>
      <c r="F21" s="335">
        <f t="shared" si="63"/>
        <v>1.7600000000000001E-2</v>
      </c>
      <c r="G21" s="223">
        <f t="shared" si="46"/>
        <v>3.2000000000000001E-2</v>
      </c>
      <c r="H21" s="223">
        <f t="shared" si="0"/>
        <v>0.4224</v>
      </c>
      <c r="I21" s="223">
        <f t="shared" si="64"/>
        <v>0.38400000000000001</v>
      </c>
      <c r="J21" s="559">
        <f t="shared" si="1"/>
        <v>12</v>
      </c>
      <c r="K21" s="454">
        <f t="shared" si="2"/>
        <v>24.25</v>
      </c>
      <c r="L21" s="553">
        <f t="shared" si="3"/>
        <v>36.25</v>
      </c>
      <c r="M21" s="553"/>
      <c r="N21" s="335">
        <f t="shared" si="4"/>
        <v>0.66896551724137931</v>
      </c>
      <c r="O21" s="178">
        <f t="shared" si="47"/>
        <v>2.8961428571428565</v>
      </c>
      <c r="P21" s="178">
        <f t="shared" si="5"/>
        <v>5.0263636363636364</v>
      </c>
      <c r="Q21" s="335">
        <f t="shared" si="6"/>
        <v>0.12067261904761901</v>
      </c>
      <c r="R21" s="223">
        <f t="shared" si="7"/>
        <v>0.24134523809523803</v>
      </c>
      <c r="S21" s="454">
        <f t="shared" si="8"/>
        <v>24</v>
      </c>
      <c r="T21" s="223">
        <f t="shared" si="9"/>
        <v>0.21148128052088988</v>
      </c>
      <c r="U21" s="335">
        <f t="shared" si="10"/>
        <v>0.82830168204015209</v>
      </c>
      <c r="V21" s="223">
        <f t="shared" si="11"/>
        <v>0.40988124472089998</v>
      </c>
      <c r="W21" s="555">
        <f t="shared" si="12"/>
        <v>350</v>
      </c>
      <c r="X21" s="553">
        <f t="shared" si="48"/>
        <v>350</v>
      </c>
      <c r="Z21" s="335">
        <f t="shared" si="13"/>
        <v>0.48799916151346817</v>
      </c>
      <c r="AA21" s="179">
        <f t="shared" si="14"/>
        <v>0.94581280788177335</v>
      </c>
      <c r="AB21" s="179">
        <f t="shared" si="15"/>
        <v>8.077227500912576E-2</v>
      </c>
      <c r="AC21" s="556"/>
      <c r="AD21" s="179">
        <f t="shared" si="16"/>
        <v>0.56206185567010303</v>
      </c>
      <c r="AE21" s="563">
        <f t="shared" si="17"/>
        <v>215.95365193412101</v>
      </c>
      <c r="AF21" s="546">
        <f t="shared" si="18"/>
        <v>2.8524639175257726E-2</v>
      </c>
      <c r="AG21"/>
      <c r="AH21" s="179">
        <f t="shared" si="19"/>
        <v>0.3131174750656523</v>
      </c>
      <c r="AI21" s="179">
        <f t="shared" si="20"/>
        <v>0.3131174750656523</v>
      </c>
      <c r="AJ21" s="179">
        <f t="shared" si="21"/>
        <v>1.1234020868194978</v>
      </c>
      <c r="AL21" s="563">
        <f t="shared" si="22"/>
        <v>17.600000000000001</v>
      </c>
      <c r="AM21" s="472">
        <f t="shared" si="23"/>
        <v>215.95365193412101</v>
      </c>
      <c r="AO21">
        <f t="shared" si="49"/>
        <v>17.600000000000001</v>
      </c>
      <c r="AP21" s="472">
        <f t="shared" si="24"/>
        <v>215.95365193412101</v>
      </c>
      <c r="AQ21" s="472"/>
      <c r="AR21" s="6">
        <f t="shared" si="50"/>
        <v>4.6306232427366449</v>
      </c>
      <c r="AS21" s="6">
        <f t="shared" si="25"/>
        <v>1.2263767773404715</v>
      </c>
      <c r="AT21" s="6">
        <f t="shared" si="51"/>
        <v>3.4042464653961737</v>
      </c>
      <c r="AU21" s="179">
        <f t="shared" si="52"/>
        <v>0.26484054371387317</v>
      </c>
      <c r="AW21" s="6">
        <f t="shared" si="26"/>
        <v>8.9934297004967911E-2</v>
      </c>
      <c r="AX21" s="6">
        <f t="shared" si="27"/>
        <v>0.3270338072907924</v>
      </c>
      <c r="AY21" s="6">
        <f t="shared" si="28"/>
        <v>0.2102271501437637</v>
      </c>
      <c r="AZ21" s="6"/>
      <c r="BA21" s="179">
        <f t="shared" si="53"/>
        <v>9.3033404564042452E-2</v>
      </c>
      <c r="BB21" s="179">
        <f t="shared" si="29"/>
        <v>0.15500205385430543</v>
      </c>
      <c r="BC21" s="179">
        <f t="shared" si="30"/>
        <v>0.27894618226099493</v>
      </c>
      <c r="BD21" s="179"/>
      <c r="BE21" s="546">
        <f t="shared" si="31"/>
        <v>3.0293250276718781E-3</v>
      </c>
      <c r="BF21" s="546">
        <f t="shared" si="32"/>
        <v>1.838387816737258E-2</v>
      </c>
      <c r="BG21" s="546">
        <f t="shared" si="33"/>
        <v>2.6994206491765126E-3</v>
      </c>
      <c r="BH21" s="546">
        <f t="shared" si="34"/>
        <v>1.4188829787234045E-2</v>
      </c>
      <c r="BI21">
        <f t="shared" si="35"/>
        <v>3.48E-3</v>
      </c>
      <c r="BJ21">
        <f t="shared" si="36"/>
        <v>4.1825356081651416E-2</v>
      </c>
      <c r="BK21" s="472">
        <f t="shared" si="54"/>
        <v>41.825356081651414</v>
      </c>
      <c r="BL21" s="179">
        <f t="shared" si="37"/>
        <v>5.28E-3</v>
      </c>
      <c r="BM21" s="179">
        <f t="shared" si="38"/>
        <v>9.5999999999999992E-3</v>
      </c>
      <c r="BN21" s="546"/>
      <c r="BP21" s="472">
        <f t="shared" si="55"/>
        <v>14.879999999999999</v>
      </c>
      <c r="BQ21" s="546">
        <f t="shared" si="39"/>
        <v>1.7310428729553592E-3</v>
      </c>
      <c r="BR21" s="546">
        <f t="shared" si="56"/>
        <v>4.8051273398106008E-3</v>
      </c>
      <c r="BS21" s="546">
        <f t="shared" si="40"/>
        <v>7.7810972597984213E-3</v>
      </c>
      <c r="BT21" s="546">
        <f t="shared" si="41"/>
        <v>1.8799212266954457E-3</v>
      </c>
      <c r="BU21" s="546">
        <f t="shared" si="42"/>
        <v>1.6215761931327208E-2</v>
      </c>
      <c r="BV21" s="656">
        <f t="shared" si="43"/>
        <v>3.916939770229777E-3</v>
      </c>
      <c r="BW21" s="472">
        <f t="shared" si="57"/>
        <v>20.132701701556986</v>
      </c>
      <c r="BX21" s="179">
        <f t="shared" si="58"/>
        <v>7.6838057783208402E-2</v>
      </c>
      <c r="BY21" s="6">
        <f t="shared" si="59"/>
        <v>0.80640000000000001</v>
      </c>
      <c r="BZ21" s="179">
        <f t="shared" si="60"/>
        <v>0.91300413619397236</v>
      </c>
      <c r="CA21" s="6">
        <f t="shared" si="61"/>
        <v>91.300413619397233</v>
      </c>
      <c r="CB21">
        <f t="shared" si="62"/>
        <v>16</v>
      </c>
      <c r="CD21" s="581">
        <f t="shared" si="44"/>
        <v>-50</v>
      </c>
      <c r="CE21">
        <f t="shared" si="45"/>
        <v>-50</v>
      </c>
    </row>
    <row r="22" spans="5:83" x14ac:dyDescent="0.2">
      <c r="E22" s="176">
        <v>17</v>
      </c>
      <c r="F22" s="223">
        <f t="shared" si="63"/>
        <v>1.8700000000000001E-2</v>
      </c>
      <c r="G22" s="223">
        <f t="shared" si="46"/>
        <v>3.4000000000000002E-2</v>
      </c>
      <c r="H22" s="223">
        <f t="shared" si="0"/>
        <v>0.44880000000000003</v>
      </c>
      <c r="I22" s="223">
        <f t="shared" si="64"/>
        <v>0.40800000000000003</v>
      </c>
      <c r="J22" s="559">
        <f t="shared" si="1"/>
        <v>12</v>
      </c>
      <c r="K22" s="454">
        <f t="shared" si="2"/>
        <v>24.25</v>
      </c>
      <c r="L22" s="454">
        <f t="shared" si="3"/>
        <v>36.25</v>
      </c>
      <c r="M22" s="454"/>
      <c r="N22" s="223">
        <f t="shared" si="4"/>
        <v>0.66896551724137931</v>
      </c>
      <c r="O22" s="178">
        <f t="shared" si="47"/>
        <v>2.8961428571428565</v>
      </c>
      <c r="P22" s="178">
        <f t="shared" si="5"/>
        <v>5.0263636363636364</v>
      </c>
      <c r="Q22" s="223">
        <f t="shared" si="6"/>
        <v>0.12067261904761901</v>
      </c>
      <c r="R22" s="223">
        <f t="shared" si="7"/>
        <v>0.24134523809523803</v>
      </c>
      <c r="S22" s="454">
        <f t="shared" si="8"/>
        <v>24</v>
      </c>
      <c r="T22" s="223">
        <f t="shared" si="9"/>
        <v>0.22469886055344548</v>
      </c>
      <c r="U22" s="223">
        <f t="shared" si="10"/>
        <v>0.88007053716766137</v>
      </c>
      <c r="V22" s="223">
        <f t="shared" si="11"/>
        <v>0.43549882251595617</v>
      </c>
      <c r="W22" s="203">
        <f t="shared" si="12"/>
        <v>350</v>
      </c>
      <c r="X22" s="454">
        <f t="shared" si="48"/>
        <v>350</v>
      </c>
      <c r="Z22" s="223">
        <f t="shared" si="13"/>
        <v>0.48799916151346817</v>
      </c>
      <c r="AA22" s="179">
        <f t="shared" si="14"/>
        <v>0.94581280788177335</v>
      </c>
      <c r="AB22" s="179">
        <f t="shared" si="15"/>
        <v>8.077227500912576E-2</v>
      </c>
      <c r="AC22" s="179"/>
      <c r="AD22" s="179">
        <f t="shared" si="16"/>
        <v>0.56206185567010303</v>
      </c>
      <c r="AE22" s="563">
        <f t="shared" si="17"/>
        <v>229.45075518000363</v>
      </c>
      <c r="AF22" s="546">
        <f t="shared" si="18"/>
        <v>2.8524639175257726E-2</v>
      </c>
      <c r="AH22" s="179">
        <f t="shared" si="19"/>
        <v>0.3227541057305971</v>
      </c>
      <c r="AI22" s="179">
        <f t="shared" si="20"/>
        <v>0.3227541057305971</v>
      </c>
      <c r="AJ22" s="179">
        <f t="shared" si="21"/>
        <v>1.1311147172457163</v>
      </c>
      <c r="AL22" s="563">
        <f t="shared" si="22"/>
        <v>18.700000000000003</v>
      </c>
      <c r="AM22" s="472">
        <f t="shared" si="23"/>
        <v>229.45075518000363</v>
      </c>
      <c r="AO22">
        <f t="shared" si="49"/>
        <v>18.700000000000003</v>
      </c>
      <c r="AP22" s="472">
        <f t="shared" si="24"/>
        <v>229.45075518000363</v>
      </c>
      <c r="AQ22" s="472"/>
      <c r="AR22" s="6">
        <f t="shared" si="50"/>
        <v>4.3582336402227231</v>
      </c>
      <c r="AS22" s="6">
        <f t="shared" si="25"/>
        <v>1.2641202474448385</v>
      </c>
      <c r="AT22" s="6">
        <f t="shared" si="51"/>
        <v>3.0941133927778846</v>
      </c>
      <c r="AU22" s="179">
        <f t="shared" si="52"/>
        <v>0.29005334541455124</v>
      </c>
      <c r="AW22" s="6">
        <f t="shared" si="26"/>
        <v>9.8496035946743665E-2</v>
      </c>
      <c r="AX22" s="6">
        <f t="shared" si="27"/>
        <v>0.35816740344270426</v>
      </c>
      <c r="AY22" s="6">
        <f t="shared" si="28"/>
        <v>0.20301726471911033</v>
      </c>
      <c r="AZ22" s="6"/>
      <c r="BA22" s="179">
        <f t="shared" si="53"/>
        <v>0.10035755860141868</v>
      </c>
      <c r="BB22" s="179">
        <f t="shared" si="29"/>
        <v>0.15700880448841703</v>
      </c>
      <c r="BC22" s="179">
        <f t="shared" si="30"/>
        <v>0.28255758878249448</v>
      </c>
      <c r="BD22" s="179"/>
      <c r="BE22" s="546">
        <f t="shared" si="31"/>
        <v>3.5250738489530143E-3</v>
      </c>
      <c r="BF22" s="546">
        <f t="shared" si="32"/>
        <v>2.0134022115212206E-2</v>
      </c>
      <c r="BG22" s="546">
        <f t="shared" si="33"/>
        <v>2.8681344397500455E-3</v>
      </c>
      <c r="BH22" s="546">
        <f t="shared" si="34"/>
        <v>1.5075631648936178E-2</v>
      </c>
      <c r="BI22">
        <f t="shared" si="35"/>
        <v>3.48E-3</v>
      </c>
      <c r="BJ22">
        <f t="shared" si="36"/>
        <v>4.5137995319580633E-2</v>
      </c>
      <c r="BK22" s="472">
        <f t="shared" si="54"/>
        <v>45.137995319580632</v>
      </c>
      <c r="BL22" s="179">
        <f t="shared" si="37"/>
        <v>5.6100000000000004E-3</v>
      </c>
      <c r="BM22" s="179">
        <f t="shared" si="38"/>
        <v>1.0200000000000001E-2</v>
      </c>
      <c r="BN22" s="546"/>
      <c r="BP22" s="472">
        <f t="shared" si="55"/>
        <v>15.81</v>
      </c>
      <c r="BQ22" s="546">
        <f t="shared" si="39"/>
        <v>2.0143279136874371E-3</v>
      </c>
      <c r="BR22" s="546">
        <f t="shared" si="56"/>
        <v>4.9303529373763933E-3</v>
      </c>
      <c r="BS22" s="546">
        <f t="shared" si="40"/>
        <v>7.9838790978577264E-3</v>
      </c>
      <c r="BT22" s="546">
        <f t="shared" si="41"/>
        <v>2.3597889972175367E-3</v>
      </c>
      <c r="BU22" s="546">
        <f t="shared" si="42"/>
        <v>1.7309020846568303E-2</v>
      </c>
      <c r="BV22" s="656">
        <f t="shared" si="43"/>
        <v>4.4218577874859588E-3</v>
      </c>
      <c r="BW22" s="472">
        <f t="shared" si="57"/>
        <v>21.730878634054264</v>
      </c>
      <c r="BX22" s="179">
        <f t="shared" si="58"/>
        <v>8.2678873953634893E-2</v>
      </c>
      <c r="BY22" s="6">
        <f t="shared" si="59"/>
        <v>0.85680000000000001</v>
      </c>
      <c r="BZ22" s="179">
        <f t="shared" si="60"/>
        <v>0.91199496205199893</v>
      </c>
      <c r="CA22" s="6">
        <f t="shared" si="61"/>
        <v>91.199496205199893</v>
      </c>
      <c r="CB22">
        <f t="shared" si="62"/>
        <v>17</v>
      </c>
      <c r="CD22" s="581">
        <f t="shared" si="44"/>
        <v>-50</v>
      </c>
      <c r="CE22">
        <f t="shared" si="45"/>
        <v>-50</v>
      </c>
    </row>
    <row r="23" spans="5:83" x14ac:dyDescent="0.2">
      <c r="E23" s="176">
        <v>18</v>
      </c>
      <c r="F23" s="223">
        <f t="shared" si="63"/>
        <v>1.9799999999999998E-2</v>
      </c>
      <c r="G23" s="223">
        <f t="shared" si="46"/>
        <v>3.5999999999999997E-2</v>
      </c>
      <c r="H23" s="223">
        <f t="shared" si="0"/>
        <v>0.47519999999999996</v>
      </c>
      <c r="I23" s="223">
        <f t="shared" si="64"/>
        <v>0.43199999999999994</v>
      </c>
      <c r="J23" s="559">
        <f t="shared" si="1"/>
        <v>12</v>
      </c>
      <c r="K23" s="454">
        <f t="shared" si="2"/>
        <v>24.25</v>
      </c>
      <c r="L23" s="454">
        <f t="shared" si="3"/>
        <v>36.25</v>
      </c>
      <c r="M23" s="454"/>
      <c r="N23" s="223">
        <f t="shared" si="4"/>
        <v>0.66896551724137931</v>
      </c>
      <c r="O23" s="178">
        <f t="shared" si="47"/>
        <v>2.8961428571428565</v>
      </c>
      <c r="P23" s="178">
        <f t="shared" si="5"/>
        <v>5.0263636363636364</v>
      </c>
      <c r="Q23" s="223">
        <f t="shared" si="6"/>
        <v>0.12067261904761901</v>
      </c>
      <c r="R23" s="223">
        <f t="shared" si="7"/>
        <v>0.24134523809523803</v>
      </c>
      <c r="S23" s="454">
        <f t="shared" si="8"/>
        <v>24</v>
      </c>
      <c r="T23" s="223">
        <f t="shared" si="9"/>
        <v>0.23791644058600109</v>
      </c>
      <c r="U23" s="223">
        <f t="shared" si="10"/>
        <v>0.93183939229517088</v>
      </c>
      <c r="V23" s="223">
        <f t="shared" si="11"/>
        <v>0.46111640031101236</v>
      </c>
      <c r="W23" s="203">
        <f t="shared" si="12"/>
        <v>350</v>
      </c>
      <c r="X23" s="454">
        <f t="shared" si="48"/>
        <v>350</v>
      </c>
      <c r="Z23" s="223">
        <f t="shared" si="13"/>
        <v>0.48799916151346817</v>
      </c>
      <c r="AA23" s="179">
        <f t="shared" si="14"/>
        <v>0.94581280788177335</v>
      </c>
      <c r="AB23" s="179">
        <f t="shared" si="15"/>
        <v>8.077227500912576E-2</v>
      </c>
      <c r="AC23" s="179"/>
      <c r="AD23" s="179">
        <f t="shared" si="16"/>
        <v>0.56206185567010303</v>
      </c>
      <c r="AE23" s="563">
        <f t="shared" si="17"/>
        <v>242.94785842588612</v>
      </c>
      <c r="AF23" s="546">
        <f t="shared" si="18"/>
        <v>2.8524639175257726E-2</v>
      </c>
      <c r="AH23" s="179">
        <f t="shared" si="19"/>
        <v>0.33211123489039862</v>
      </c>
      <c r="AI23" s="179">
        <f t="shared" si="20"/>
        <v>0.33211123489039862</v>
      </c>
      <c r="AJ23" s="179">
        <f t="shared" si="21"/>
        <v>1.1388273476719348</v>
      </c>
      <c r="AL23" s="563">
        <f t="shared" si="22"/>
        <v>19.799999999999997</v>
      </c>
      <c r="AM23" s="472">
        <f t="shared" si="23"/>
        <v>242.94785842588612</v>
      </c>
      <c r="AO23">
        <f t="shared" si="49"/>
        <v>19.799999999999997</v>
      </c>
      <c r="AP23" s="472">
        <f t="shared" si="24"/>
        <v>242.94785842588612</v>
      </c>
      <c r="AQ23" s="472"/>
      <c r="AR23" s="6">
        <f t="shared" si="50"/>
        <v>4.1161095490992397</v>
      </c>
      <c r="AS23" s="6">
        <f t="shared" si="25"/>
        <v>1.300769003320728</v>
      </c>
      <c r="AT23" s="6">
        <f t="shared" si="51"/>
        <v>2.8153405457785117</v>
      </c>
      <c r="AU23" s="179">
        <f t="shared" si="52"/>
        <v>0.31601904366354522</v>
      </c>
      <c r="AW23" s="6">
        <f t="shared" si="26"/>
        <v>0.10731344277396004</v>
      </c>
      <c r="AX23" s="6">
        <f t="shared" si="27"/>
        <v>0.39023070099621837</v>
      </c>
      <c r="AY23" s="6">
        <f t="shared" si="28"/>
        <v>0.19559208002250711</v>
      </c>
      <c r="AZ23" s="6"/>
      <c r="BA23" s="179">
        <f t="shared" si="53"/>
        <v>0.1077902718788436</v>
      </c>
      <c r="BB23" s="179">
        <f t="shared" si="29"/>
        <v>0.15857873355243282</v>
      </c>
      <c r="BC23" s="179">
        <f t="shared" si="30"/>
        <v>0.28538287856374744</v>
      </c>
      <c r="BD23" s="179"/>
      <c r="BE23" s="546">
        <f t="shared" si="31"/>
        <v>4.0665599491002576E-3</v>
      </c>
      <c r="BF23" s="546">
        <f t="shared" si="32"/>
        <v>2.1936428296857789E-2</v>
      </c>
      <c r="BG23" s="546">
        <f t="shared" si="33"/>
        <v>3.0368482303235766E-3</v>
      </c>
      <c r="BH23" s="546">
        <f t="shared" si="34"/>
        <v>1.5962433510638301E-2</v>
      </c>
      <c r="BI23">
        <f t="shared" si="35"/>
        <v>3.48E-3</v>
      </c>
      <c r="BJ23">
        <f t="shared" si="36"/>
        <v>4.8550680956165805E-2</v>
      </c>
      <c r="BK23" s="472">
        <f t="shared" si="54"/>
        <v>48.550680956165806</v>
      </c>
      <c r="BL23" s="179">
        <f t="shared" si="37"/>
        <v>5.9399999999999991E-3</v>
      </c>
      <c r="BM23" s="179">
        <f t="shared" si="38"/>
        <v>1.0799999999999999E-2</v>
      </c>
      <c r="BN23" s="546"/>
      <c r="BP23" s="472">
        <f t="shared" si="55"/>
        <v>16.739999999999998</v>
      </c>
      <c r="BQ23" s="546">
        <f t="shared" si="39"/>
        <v>2.3237485423430043E-3</v>
      </c>
      <c r="BR23" s="546">
        <f t="shared" si="56"/>
        <v>5.0294429470186973E-3</v>
      </c>
      <c r="BS23" s="546">
        <f t="shared" si="40"/>
        <v>8.1443387377330614E-3</v>
      </c>
      <c r="BT23" s="546">
        <f t="shared" si="41"/>
        <v>2.9238939107074568E-3</v>
      </c>
      <c r="BU23" s="546">
        <f t="shared" si="42"/>
        <v>1.84442914148998E-2</v>
      </c>
      <c r="BV23" s="656">
        <f t="shared" si="43"/>
        <v>4.9573768966970598E-3</v>
      </c>
      <c r="BW23" s="472">
        <f t="shared" si="57"/>
        <v>23.401668311596861</v>
      </c>
      <c r="BX23" s="179">
        <f t="shared" si="58"/>
        <v>8.8692349267762663E-2</v>
      </c>
      <c r="BY23" s="6">
        <f t="shared" si="59"/>
        <v>0.9071999999999999</v>
      </c>
      <c r="BZ23" s="179">
        <f t="shared" si="60"/>
        <v>0.91094183087863423</v>
      </c>
      <c r="CA23" s="6">
        <f t="shared" si="61"/>
        <v>91.094183087863428</v>
      </c>
      <c r="CB23">
        <f t="shared" si="62"/>
        <v>18</v>
      </c>
      <c r="CD23" s="581">
        <f t="shared" si="44"/>
        <v>-50</v>
      </c>
      <c r="CE23">
        <f t="shared" si="45"/>
        <v>-50</v>
      </c>
    </row>
    <row r="24" spans="5:83" x14ac:dyDescent="0.2">
      <c r="E24" s="176">
        <v>19</v>
      </c>
      <c r="F24" s="223">
        <f t="shared" si="63"/>
        <v>2.0900000000000002E-2</v>
      </c>
      <c r="G24" s="223">
        <f t="shared" si="46"/>
        <v>3.8000000000000006E-2</v>
      </c>
      <c r="H24" s="223">
        <f t="shared" si="0"/>
        <v>0.50160000000000005</v>
      </c>
      <c r="I24" s="223">
        <f t="shared" si="64"/>
        <v>0.45600000000000007</v>
      </c>
      <c r="J24" s="559">
        <f t="shared" si="1"/>
        <v>12</v>
      </c>
      <c r="K24" s="454">
        <f t="shared" si="2"/>
        <v>24.25</v>
      </c>
      <c r="L24" s="454">
        <f t="shared" si="3"/>
        <v>36.25</v>
      </c>
      <c r="M24" s="454"/>
      <c r="N24" s="223">
        <f t="shared" si="4"/>
        <v>0.66896551724137931</v>
      </c>
      <c r="O24" s="178">
        <f t="shared" si="47"/>
        <v>2.8961428571428565</v>
      </c>
      <c r="P24" s="178">
        <f t="shared" si="5"/>
        <v>5.0263636363636364</v>
      </c>
      <c r="Q24" s="223">
        <f t="shared" si="6"/>
        <v>0.12067261904761901</v>
      </c>
      <c r="R24" s="223">
        <f t="shared" si="7"/>
        <v>0.24134523809523803</v>
      </c>
      <c r="S24" s="454">
        <f t="shared" si="8"/>
        <v>24</v>
      </c>
      <c r="T24" s="223">
        <f t="shared" si="9"/>
        <v>0.25113402061855677</v>
      </c>
      <c r="U24" s="223">
        <f t="shared" si="10"/>
        <v>0.9836082474226806</v>
      </c>
      <c r="V24" s="223">
        <f t="shared" si="11"/>
        <v>0.48673397810606878</v>
      </c>
      <c r="W24" s="203">
        <f t="shared" si="12"/>
        <v>350</v>
      </c>
      <c r="X24" s="454">
        <f t="shared" si="48"/>
        <v>350</v>
      </c>
      <c r="Z24" s="223">
        <f t="shared" si="13"/>
        <v>0.48799916151346817</v>
      </c>
      <c r="AA24" s="179">
        <f t="shared" si="14"/>
        <v>0.94581280788177335</v>
      </c>
      <c r="AB24" s="179">
        <f t="shared" si="15"/>
        <v>8.077227500912576E-2</v>
      </c>
      <c r="AC24" s="179"/>
      <c r="AD24" s="179">
        <f t="shared" si="16"/>
        <v>0.56206185567010303</v>
      </c>
      <c r="AE24" s="563">
        <f t="shared" si="17"/>
        <v>256.44496167176874</v>
      </c>
      <c r="AF24" s="546">
        <f t="shared" si="18"/>
        <v>2.8524639175257726E-2</v>
      </c>
      <c r="AH24" s="179">
        <f t="shared" si="19"/>
        <v>0.34121185781694874</v>
      </c>
      <c r="AI24" s="179">
        <f t="shared" si="20"/>
        <v>0.34121185781694874</v>
      </c>
      <c r="AJ24" s="179">
        <f t="shared" si="21"/>
        <v>1.1465399780981536</v>
      </c>
      <c r="AL24" s="563">
        <f t="shared" si="22"/>
        <v>20.900000000000002</v>
      </c>
      <c r="AM24" s="472">
        <f t="shared" si="23"/>
        <v>256.44496167176874</v>
      </c>
      <c r="AO24">
        <f t="shared" si="49"/>
        <v>20.900000000000002</v>
      </c>
      <c r="AP24" s="472">
        <f t="shared" si="24"/>
        <v>256.44496167176874</v>
      </c>
      <c r="AQ24" s="472"/>
      <c r="AR24" s="6">
        <f t="shared" si="50"/>
        <v>3.8994722044098054</v>
      </c>
      <c r="AS24" s="6">
        <f t="shared" si="25"/>
        <v>1.3364131097830492</v>
      </c>
      <c r="AT24" s="6">
        <f t="shared" si="51"/>
        <v>2.5630590946267562</v>
      </c>
      <c r="AU24" s="179">
        <f t="shared" si="52"/>
        <v>0.34271640871596326</v>
      </c>
      <c r="AW24" s="6">
        <f t="shared" si="26"/>
        <v>0.11637930831027386</v>
      </c>
      <c r="AX24" s="6">
        <f t="shared" si="27"/>
        <v>0.42319748476463231</v>
      </c>
      <c r="AY24" s="6">
        <f t="shared" si="28"/>
        <v>0.18795766693929544</v>
      </c>
      <c r="AZ24" s="6"/>
      <c r="BA24" s="179">
        <f t="shared" si="53"/>
        <v>0.11532698467216033</v>
      </c>
      <c r="BB24" s="179">
        <f t="shared" si="29"/>
        <v>0.15971285873318145</v>
      </c>
      <c r="BC24" s="179">
        <f t="shared" si="30"/>
        <v>0.28742388306342487</v>
      </c>
      <c r="BD24" s="179"/>
      <c r="BE24" s="546">
        <f t="shared" si="31"/>
        <v>4.6551096877504462E-3</v>
      </c>
      <c r="BF24" s="546">
        <f t="shared" si="32"/>
        <v>2.3789623051826175E-2</v>
      </c>
      <c r="BG24" s="546">
        <f t="shared" si="33"/>
        <v>3.2055620208971095E-3</v>
      </c>
      <c r="BH24" s="546">
        <f t="shared" si="34"/>
        <v>1.684923537234043E-2</v>
      </c>
      <c r="BI24">
        <f t="shared" si="35"/>
        <v>3.48E-3</v>
      </c>
      <c r="BJ24">
        <f t="shared" si="36"/>
        <v>5.2063508337831611E-2</v>
      </c>
      <c r="BK24" s="472">
        <f t="shared" si="54"/>
        <v>52.063508337831614</v>
      </c>
      <c r="BL24" s="179">
        <f t="shared" si="37"/>
        <v>6.2700000000000004E-3</v>
      </c>
      <c r="BM24" s="179">
        <f t="shared" si="38"/>
        <v>1.1400000000000002E-2</v>
      </c>
      <c r="BN24" s="546"/>
      <c r="BP24" s="472">
        <f t="shared" si="55"/>
        <v>17.670000000000002</v>
      </c>
      <c r="BQ24" s="546">
        <f t="shared" si="39"/>
        <v>2.6600626787145411E-3</v>
      </c>
      <c r="BR24" s="546">
        <f t="shared" si="56"/>
        <v>5.1016394489450355E-3</v>
      </c>
      <c r="BS24" s="546">
        <f t="shared" si="40"/>
        <v>8.2612488555257341E-3</v>
      </c>
      <c r="BT24" s="546">
        <f t="shared" si="41"/>
        <v>3.5810939943502641E-3</v>
      </c>
      <c r="BU24" s="546">
        <f t="shared" si="42"/>
        <v>1.962920640249766E-2</v>
      </c>
      <c r="BV24" s="656">
        <f t="shared" si="43"/>
        <v>5.5234970978630844E-3</v>
      </c>
      <c r="BW24" s="472">
        <f t="shared" si="57"/>
        <v>25.152703500360744</v>
      </c>
      <c r="BX24" s="179">
        <f t="shared" si="58"/>
        <v>9.4886211838192347E-2</v>
      </c>
      <c r="BY24" s="6">
        <f t="shared" si="59"/>
        <v>0.95760000000000012</v>
      </c>
      <c r="BZ24" s="179">
        <f t="shared" si="60"/>
        <v>0.90984564855013994</v>
      </c>
      <c r="CA24" s="6">
        <f t="shared" si="61"/>
        <v>90.984564855014</v>
      </c>
      <c r="CB24">
        <f t="shared" si="62"/>
        <v>19.000000000000004</v>
      </c>
      <c r="CD24" s="581">
        <f t="shared" si="44"/>
        <v>-50</v>
      </c>
      <c r="CE24">
        <f t="shared" si="45"/>
        <v>-50</v>
      </c>
    </row>
    <row r="25" spans="5:83" x14ac:dyDescent="0.2">
      <c r="E25" s="176">
        <v>20</v>
      </c>
      <c r="F25" s="223">
        <f t="shared" si="63"/>
        <v>2.2000000000000002E-2</v>
      </c>
      <c r="G25" s="223">
        <f t="shared" si="46"/>
        <v>4.0000000000000008E-2</v>
      </c>
      <c r="H25" s="223">
        <f t="shared" si="0"/>
        <v>0.52800000000000002</v>
      </c>
      <c r="I25" s="223">
        <f t="shared" si="64"/>
        <v>0.48000000000000009</v>
      </c>
      <c r="J25" s="559">
        <f t="shared" si="1"/>
        <v>12</v>
      </c>
      <c r="K25" s="454">
        <f t="shared" si="2"/>
        <v>24.25</v>
      </c>
      <c r="L25" s="454">
        <f t="shared" si="3"/>
        <v>36.25</v>
      </c>
      <c r="M25" s="454"/>
      <c r="N25" s="223">
        <f t="shared" si="4"/>
        <v>0.66896551724137931</v>
      </c>
      <c r="O25" s="178">
        <f t="shared" si="47"/>
        <v>2.8961428571428565</v>
      </c>
      <c r="P25" s="178">
        <f t="shared" si="5"/>
        <v>5.0263636363636364</v>
      </c>
      <c r="Q25" s="223">
        <f t="shared" si="6"/>
        <v>0.12067261904761901</v>
      </c>
      <c r="R25" s="223">
        <f t="shared" si="7"/>
        <v>0.24134523809523803</v>
      </c>
      <c r="S25" s="454">
        <f t="shared" si="8"/>
        <v>24</v>
      </c>
      <c r="T25" s="223">
        <f t="shared" si="9"/>
        <v>0.26435160065111235</v>
      </c>
      <c r="U25" s="223">
        <f t="shared" si="10"/>
        <v>1.0353771025501901</v>
      </c>
      <c r="V25" s="223">
        <f t="shared" si="11"/>
        <v>0.51235155590112502</v>
      </c>
      <c r="W25" s="203">
        <f t="shared" si="12"/>
        <v>350</v>
      </c>
      <c r="X25" s="454">
        <f t="shared" si="48"/>
        <v>350</v>
      </c>
      <c r="Z25" s="223">
        <f t="shared" si="13"/>
        <v>0.48799916151346817</v>
      </c>
      <c r="AA25" s="179">
        <f t="shared" si="14"/>
        <v>0.94581280788177335</v>
      </c>
      <c r="AB25" s="179">
        <f t="shared" si="15"/>
        <v>8.077227500912576E-2</v>
      </c>
      <c r="AC25" s="179"/>
      <c r="AD25" s="179">
        <f t="shared" si="16"/>
        <v>0.56206185567010303</v>
      </c>
      <c r="AE25" s="563">
        <f t="shared" si="17"/>
        <v>269.94206491765129</v>
      </c>
      <c r="AF25" s="546">
        <f t="shared" si="18"/>
        <v>2.8524639175257726E-2</v>
      </c>
      <c r="AH25" s="179">
        <f t="shared" si="19"/>
        <v>0.35007597959494696</v>
      </c>
      <c r="AI25" s="179">
        <f t="shared" si="20"/>
        <v>0.35007597959494696</v>
      </c>
      <c r="AJ25" s="179">
        <f t="shared" si="21"/>
        <v>1.1542526085243723</v>
      </c>
      <c r="AL25" s="563">
        <f t="shared" si="22"/>
        <v>22.000000000000004</v>
      </c>
      <c r="AM25" s="472">
        <f t="shared" si="23"/>
        <v>269.94206491765129</v>
      </c>
      <c r="AO25">
        <f t="shared" si="49"/>
        <v>22.000000000000004</v>
      </c>
      <c r="AP25" s="472">
        <f t="shared" si="24"/>
        <v>269.94206491765129</v>
      </c>
      <c r="AQ25" s="472"/>
      <c r="AR25" s="6">
        <f t="shared" si="50"/>
        <v>3.7044985941893152</v>
      </c>
      <c r="AS25" s="6">
        <f t="shared" si="25"/>
        <v>1.3711309200802086</v>
      </c>
      <c r="AT25" s="6">
        <f t="shared" si="51"/>
        <v>2.3333676741091063</v>
      </c>
      <c r="AU25" s="179">
        <f t="shared" si="52"/>
        <v>0.3701259118388906</v>
      </c>
      <c r="AW25" s="6">
        <f t="shared" si="26"/>
        <v>0.12568700100735247</v>
      </c>
      <c r="AX25" s="6">
        <f t="shared" si="27"/>
        <v>0.45704364002673631</v>
      </c>
      <c r="AY25" s="6">
        <f t="shared" si="28"/>
        <v>0.18011960993122927</v>
      </c>
      <c r="AZ25" s="6"/>
      <c r="BA25" s="179">
        <f t="shared" si="53"/>
        <v>0.12296356065757337</v>
      </c>
      <c r="BB25" s="179">
        <f t="shared" si="29"/>
        <v>0.16040893547492457</v>
      </c>
      <c r="BC25" s="179">
        <f t="shared" si="30"/>
        <v>0.28867656291405724</v>
      </c>
      <c r="BD25" s="179"/>
      <c r="BE25" s="546">
        <f t="shared" si="31"/>
        <v>5.2920130373560539E-3</v>
      </c>
      <c r="BF25" s="546">
        <f t="shared" si="32"/>
        <v>2.569225079519959E-2</v>
      </c>
      <c r="BG25" s="546">
        <f t="shared" si="33"/>
        <v>3.374275811470641E-3</v>
      </c>
      <c r="BH25" s="546">
        <f t="shared" si="34"/>
        <v>1.7736037234042559E-2</v>
      </c>
      <c r="BI25">
        <f t="shared" si="35"/>
        <v>3.48E-3</v>
      </c>
      <c r="BJ25">
        <f t="shared" si="36"/>
        <v>5.567667021487134E-2</v>
      </c>
      <c r="BK25" s="472">
        <f t="shared" si="54"/>
        <v>55.676670214871343</v>
      </c>
      <c r="BL25" s="179">
        <f t="shared" si="37"/>
        <v>6.6000000000000008E-3</v>
      </c>
      <c r="BM25" s="179">
        <f t="shared" si="38"/>
        <v>1.2000000000000002E-2</v>
      </c>
      <c r="BN25" s="546"/>
      <c r="BP25" s="472">
        <f t="shared" si="55"/>
        <v>18.600000000000001</v>
      </c>
      <c r="BQ25" s="546">
        <f t="shared" si="39"/>
        <v>3.0240074499177454E-3</v>
      </c>
      <c r="BR25" s="546">
        <f t="shared" si="56"/>
        <v>5.1462053160397031E-3</v>
      </c>
      <c r="BS25" s="546">
        <f t="shared" si="40"/>
        <v>8.3334157975873662E-3</v>
      </c>
      <c r="BT25" s="546">
        <f t="shared" si="41"/>
        <v>4.3406243304056945E-3</v>
      </c>
      <c r="BU25" s="546">
        <f t="shared" si="42"/>
        <v>2.0871809741584434E-2</v>
      </c>
      <c r="BV25" s="656">
        <f t="shared" si="43"/>
        <v>6.1202183909840266E-3</v>
      </c>
      <c r="BW25" s="472">
        <f t="shared" si="57"/>
        <v>26.992028132568461</v>
      </c>
      <c r="BX25" s="179">
        <f t="shared" si="58"/>
        <v>0.10126869834743982</v>
      </c>
      <c r="BY25" s="6">
        <f t="shared" si="59"/>
        <v>1.008</v>
      </c>
      <c r="BZ25" s="179">
        <f t="shared" si="60"/>
        <v>0.90870679169230384</v>
      </c>
      <c r="CA25" s="6">
        <f t="shared" si="61"/>
        <v>90.870679169230385</v>
      </c>
      <c r="CB25">
        <f t="shared" si="62"/>
        <v>20</v>
      </c>
      <c r="CD25" s="581">
        <f t="shared" si="44"/>
        <v>-50</v>
      </c>
      <c r="CE25">
        <f t="shared" si="45"/>
        <v>-50</v>
      </c>
    </row>
    <row r="26" spans="5:83" x14ac:dyDescent="0.2">
      <c r="E26" s="176">
        <v>21</v>
      </c>
      <c r="F26" s="223">
        <f t="shared" si="63"/>
        <v>2.3099999999999999E-2</v>
      </c>
      <c r="G26" s="223">
        <f t="shared" si="46"/>
        <v>4.2000000000000003E-2</v>
      </c>
      <c r="H26" s="223">
        <f t="shared" si="0"/>
        <v>0.5544</v>
      </c>
      <c r="I26" s="223">
        <f t="shared" si="64"/>
        <v>0.504</v>
      </c>
      <c r="J26" s="559">
        <f t="shared" si="1"/>
        <v>12</v>
      </c>
      <c r="K26" s="454">
        <f t="shared" si="2"/>
        <v>24.25</v>
      </c>
      <c r="L26" s="454">
        <f t="shared" si="3"/>
        <v>36.25</v>
      </c>
      <c r="M26" s="454"/>
      <c r="N26" s="223">
        <f t="shared" si="4"/>
        <v>0.66896551724137931</v>
      </c>
      <c r="O26" s="178">
        <f t="shared" si="47"/>
        <v>2.8961428571428565</v>
      </c>
      <c r="P26" s="178">
        <f t="shared" si="5"/>
        <v>5.0263636363636364</v>
      </c>
      <c r="Q26" s="223">
        <f t="shared" si="6"/>
        <v>0.12067261904761901</v>
      </c>
      <c r="R26" s="223">
        <f t="shared" si="7"/>
        <v>0.24134523809523803</v>
      </c>
      <c r="S26" s="454">
        <f t="shared" si="8"/>
        <v>24</v>
      </c>
      <c r="T26" s="223">
        <f t="shared" si="9"/>
        <v>0.27756918068366798</v>
      </c>
      <c r="U26" s="223">
        <f t="shared" si="10"/>
        <v>1.0871459576776996</v>
      </c>
      <c r="V26" s="223">
        <f t="shared" si="11"/>
        <v>0.53796913369618116</v>
      </c>
      <c r="W26" s="203">
        <f t="shared" si="12"/>
        <v>350</v>
      </c>
      <c r="X26" s="454">
        <f t="shared" si="48"/>
        <v>350</v>
      </c>
      <c r="Z26" s="223">
        <f t="shared" si="13"/>
        <v>0.48799916151346817</v>
      </c>
      <c r="AA26" s="179">
        <f t="shared" si="14"/>
        <v>0.94581280788177335</v>
      </c>
      <c r="AB26" s="179">
        <f t="shared" si="15"/>
        <v>8.077227500912576E-2</v>
      </c>
      <c r="AC26" s="179"/>
      <c r="AD26" s="179">
        <f t="shared" si="16"/>
        <v>0.56206185567010303</v>
      </c>
      <c r="AE26" s="563">
        <f t="shared" si="17"/>
        <v>283.43916816353385</v>
      </c>
      <c r="AF26" s="546">
        <f t="shared" si="18"/>
        <v>2.8524639175257726E-2</v>
      </c>
      <c r="AH26" s="179">
        <f t="shared" si="19"/>
        <v>0.35872113272544981</v>
      </c>
      <c r="AI26" s="179">
        <f t="shared" si="20"/>
        <v>0.35872113272544981</v>
      </c>
      <c r="AJ26" s="179">
        <f t="shared" si="21"/>
        <v>1.1619652389505908</v>
      </c>
      <c r="AL26" s="563">
        <f t="shared" si="22"/>
        <v>23.099999999999998</v>
      </c>
      <c r="AM26" s="472">
        <f t="shared" si="23"/>
        <v>283.43916816353385</v>
      </c>
      <c r="AO26">
        <f t="shared" si="49"/>
        <v>23.099999999999998</v>
      </c>
      <c r="AP26" s="472">
        <f t="shared" si="24"/>
        <v>283.43916816353385</v>
      </c>
      <c r="AQ26" s="472"/>
      <c r="AR26" s="6">
        <f t="shared" si="50"/>
        <v>3.5280938992279189</v>
      </c>
      <c r="AS26" s="6">
        <f t="shared" si="25"/>
        <v>1.4049911031746782</v>
      </c>
      <c r="AT26" s="6">
        <f t="shared" si="51"/>
        <v>2.1231027960532405</v>
      </c>
      <c r="AU26" s="179">
        <f t="shared" si="52"/>
        <v>0.39822950956099656</v>
      </c>
      <c r="AW26" s="6">
        <f t="shared" si="26"/>
        <v>0.13523039368056278</v>
      </c>
      <c r="AX26" s="6">
        <f t="shared" si="27"/>
        <v>0.49174688611113743</v>
      </c>
      <c r="AY26" s="6">
        <f t="shared" si="28"/>
        <v>0.17208306873273632</v>
      </c>
      <c r="AZ26" s="6"/>
      <c r="BA26" s="179">
        <f t="shared" si="53"/>
        <v>0.1306962282152021</v>
      </c>
      <c r="BB26" s="179">
        <f t="shared" si="29"/>
        <v>0.16066148558878821</v>
      </c>
      <c r="BC26" s="179">
        <f t="shared" si="30"/>
        <v>0.2891310594083944</v>
      </c>
      <c r="BD26" s="179"/>
      <c r="BE26" s="546">
        <f t="shared" si="31"/>
        <v>5.978526424388066E-3</v>
      </c>
      <c r="BF26" s="546">
        <f t="shared" si="32"/>
        <v>2.7643059041335138E-2</v>
      </c>
      <c r="BG26" s="546">
        <f t="shared" si="33"/>
        <v>3.5429896020441731E-3</v>
      </c>
      <c r="BH26" s="546">
        <f t="shared" si="34"/>
        <v>1.8622839095744689E-2</v>
      </c>
      <c r="BI26">
        <f t="shared" si="35"/>
        <v>3.48E-3</v>
      </c>
      <c r="BJ26">
        <f t="shared" si="36"/>
        <v>5.9390444998478176E-2</v>
      </c>
      <c r="BK26" s="472">
        <f t="shared" si="54"/>
        <v>59.390444998478173</v>
      </c>
      <c r="BL26" s="179">
        <f t="shared" si="37"/>
        <v>6.9299999999999995E-3</v>
      </c>
      <c r="BM26" s="179">
        <f t="shared" si="38"/>
        <v>1.26E-2</v>
      </c>
      <c r="BN26" s="546"/>
      <c r="BP26" s="472">
        <f t="shared" si="55"/>
        <v>19.529999999999998</v>
      </c>
      <c r="BQ26" s="546">
        <f t="shared" si="39"/>
        <v>3.4163008139360381E-3</v>
      </c>
      <c r="BR26" s="546">
        <f t="shared" si="56"/>
        <v>5.1624225903192803E-3</v>
      </c>
      <c r="BS26" s="546">
        <f t="shared" si="40"/>
        <v>8.3596769514620497E-3</v>
      </c>
      <c r="BT26" s="546">
        <f t="shared" si="41"/>
        <v>5.2120919877705523E-3</v>
      </c>
      <c r="BU26" s="546">
        <f t="shared" si="42"/>
        <v>2.2180548584450548E-2</v>
      </c>
      <c r="BV26" s="656">
        <f t="shared" si="43"/>
        <v>6.7475407760598889E-3</v>
      </c>
      <c r="BW26" s="472">
        <f t="shared" si="57"/>
        <v>28.928089360510437</v>
      </c>
      <c r="BX26" s="179">
        <f t="shared" si="58"/>
        <v>0.10784853435898863</v>
      </c>
      <c r="BY26" s="6">
        <f t="shared" si="59"/>
        <v>1.0584</v>
      </c>
      <c r="BZ26" s="179">
        <f t="shared" si="60"/>
        <v>0.90752525625400604</v>
      </c>
      <c r="CA26" s="6">
        <f t="shared" si="61"/>
        <v>90.752525625400608</v>
      </c>
      <c r="CB26">
        <f t="shared" si="62"/>
        <v>21</v>
      </c>
      <c r="CD26" s="581">
        <f t="shared" si="44"/>
        <v>-50</v>
      </c>
      <c r="CE26">
        <f t="shared" si="45"/>
        <v>-50</v>
      </c>
    </row>
    <row r="27" spans="5:83" x14ac:dyDescent="0.2">
      <c r="E27" s="176">
        <v>22</v>
      </c>
      <c r="F27" s="223">
        <f t="shared" si="63"/>
        <v>2.4199999999999999E-2</v>
      </c>
      <c r="G27" s="223">
        <f t="shared" si="46"/>
        <v>4.4000000000000004E-2</v>
      </c>
      <c r="H27" s="223">
        <f t="shared" si="0"/>
        <v>0.58079999999999998</v>
      </c>
      <c r="I27" s="223">
        <f t="shared" si="64"/>
        <v>0.52800000000000002</v>
      </c>
      <c r="J27" s="559">
        <f t="shared" si="1"/>
        <v>12</v>
      </c>
      <c r="K27" s="454">
        <f t="shared" si="2"/>
        <v>24.25</v>
      </c>
      <c r="L27" s="454">
        <f t="shared" si="3"/>
        <v>36.25</v>
      </c>
      <c r="M27" s="454"/>
      <c r="N27" s="223">
        <f t="shared" si="4"/>
        <v>0.66896551724137931</v>
      </c>
      <c r="O27" s="178">
        <f t="shared" si="47"/>
        <v>2.8961428571428565</v>
      </c>
      <c r="P27" s="178">
        <f t="shared" si="5"/>
        <v>5.0263636363636364</v>
      </c>
      <c r="Q27" s="223">
        <f t="shared" si="6"/>
        <v>0.12067261904761901</v>
      </c>
      <c r="R27" s="223">
        <f t="shared" si="7"/>
        <v>0.24134523809523803</v>
      </c>
      <c r="S27" s="454">
        <f t="shared" si="8"/>
        <v>24</v>
      </c>
      <c r="T27" s="223">
        <f t="shared" si="9"/>
        <v>0.29078676071622356</v>
      </c>
      <c r="U27" s="223">
        <f t="shared" si="10"/>
        <v>1.1389148128052089</v>
      </c>
      <c r="V27" s="223">
        <f t="shared" si="11"/>
        <v>0.5635867114912374</v>
      </c>
      <c r="W27" s="203">
        <f t="shared" si="12"/>
        <v>350</v>
      </c>
      <c r="X27" s="454">
        <f t="shared" si="48"/>
        <v>350</v>
      </c>
      <c r="Z27" s="223">
        <f t="shared" si="13"/>
        <v>0.48799916151346817</v>
      </c>
      <c r="AA27" s="179">
        <f t="shared" si="14"/>
        <v>0.94581280788177335</v>
      </c>
      <c r="AB27" s="179">
        <f t="shared" si="15"/>
        <v>8.077227500912576E-2</v>
      </c>
      <c r="AC27" s="179"/>
      <c r="AD27" s="179">
        <f t="shared" si="16"/>
        <v>0.56206185567010303</v>
      </c>
      <c r="AE27" s="563">
        <f t="shared" si="17"/>
        <v>296.93627140941641</v>
      </c>
      <c r="AF27" s="546">
        <f t="shared" si="18"/>
        <v>2.8524639175257726E-2</v>
      </c>
      <c r="AH27" s="179">
        <f t="shared" si="19"/>
        <v>0.36716278493101379</v>
      </c>
      <c r="AI27" s="179">
        <f t="shared" si="20"/>
        <v>0.36716278493101379</v>
      </c>
      <c r="AJ27" s="179">
        <f t="shared" si="21"/>
        <v>1.1696778693768093</v>
      </c>
      <c r="AL27" s="563">
        <f t="shared" si="22"/>
        <v>24.2</v>
      </c>
      <c r="AM27" s="472">
        <f t="shared" si="23"/>
        <v>296.93627140941641</v>
      </c>
      <c r="AO27">
        <f t="shared" si="49"/>
        <v>24.2</v>
      </c>
      <c r="AP27" s="472">
        <f t="shared" si="24"/>
        <v>296.93627140941641</v>
      </c>
      <c r="AQ27" s="472"/>
      <c r="AR27" s="6">
        <f t="shared" si="50"/>
        <v>3.3677259947175591</v>
      </c>
      <c r="AS27" s="6">
        <f t="shared" si="25"/>
        <v>1.4380542409798038</v>
      </c>
      <c r="AT27" s="6">
        <f t="shared" si="51"/>
        <v>1.9296717537377552</v>
      </c>
      <c r="AU27" s="179">
        <f t="shared" si="52"/>
        <v>0.42701046440104135</v>
      </c>
      <c r="AW27" s="6">
        <f t="shared" si="26"/>
        <v>0.14500380263213022</v>
      </c>
      <c r="AX27" s="6">
        <f t="shared" si="27"/>
        <v>0.52728655502592803</v>
      </c>
      <c r="AY27" s="6">
        <f t="shared" si="28"/>
        <v>0.16385282961562692</v>
      </c>
      <c r="AZ27" s="6"/>
      <c r="BA27" s="179">
        <f t="shared" si="53"/>
        <v>0.13852153230078504</v>
      </c>
      <c r="BB27" s="179">
        <f t="shared" si="29"/>
        <v>0.16046169418839043</v>
      </c>
      <c r="BC27" s="179">
        <f t="shared" si="30"/>
        <v>0.28877150902177873</v>
      </c>
      <c r="BD27" s="179"/>
      <c r="BE27" s="546">
        <f t="shared" si="31"/>
        <v>6.7158752188351016E-3</v>
      </c>
      <c r="BF27" s="546">
        <f t="shared" si="32"/>
        <v>2.9640885959753137E-2</v>
      </c>
      <c r="BG27" s="546">
        <f t="shared" si="33"/>
        <v>3.7117033926177046E-3</v>
      </c>
      <c r="BH27" s="546">
        <f t="shared" si="34"/>
        <v>1.9509640957446815E-2</v>
      </c>
      <c r="BI27">
        <f t="shared" si="35"/>
        <v>3.48E-3</v>
      </c>
      <c r="BJ27">
        <f t="shared" si="36"/>
        <v>6.3205187207790822E-2</v>
      </c>
      <c r="BK27" s="472">
        <f t="shared" si="54"/>
        <v>63.205187207790821</v>
      </c>
      <c r="BL27" s="179">
        <f t="shared" si="37"/>
        <v>7.2599999999999991E-3</v>
      </c>
      <c r="BM27" s="179">
        <f t="shared" si="38"/>
        <v>1.3200000000000002E-2</v>
      </c>
      <c r="BN27" s="546"/>
      <c r="BP27" s="472">
        <f t="shared" si="55"/>
        <v>20.459999999999997</v>
      </c>
      <c r="BQ27" s="546">
        <f t="shared" si="39"/>
        <v>3.8376429821914866E-3</v>
      </c>
      <c r="BR27" s="546">
        <f t="shared" si="56"/>
        <v>5.1495910603617072E-3</v>
      </c>
      <c r="BS27" s="546">
        <f t="shared" si="40"/>
        <v>8.3388984422715241E-3</v>
      </c>
      <c r="BT27" s="546">
        <f t="shared" si="41"/>
        <v>6.2054712771473812E-3</v>
      </c>
      <c r="BU27" s="546">
        <f t="shared" si="42"/>
        <v>2.3564265969499714E-2</v>
      </c>
      <c r="BV27" s="656">
        <f t="shared" si="43"/>
        <v>7.4054642530906713E-3</v>
      </c>
      <c r="BW27" s="472">
        <f t="shared" si="57"/>
        <v>30.969730222590385</v>
      </c>
      <c r="BX27" s="179">
        <f t="shared" si="58"/>
        <v>0.11463491743038122</v>
      </c>
      <c r="BY27" s="6">
        <f t="shared" si="59"/>
        <v>1.1088</v>
      </c>
      <c r="BZ27" s="179">
        <f t="shared" si="60"/>
        <v>0.90630076369640289</v>
      </c>
      <c r="CA27" s="6">
        <f t="shared" si="61"/>
        <v>90.630076369640292</v>
      </c>
      <c r="CB27">
        <f t="shared" si="62"/>
        <v>22</v>
      </c>
      <c r="CD27" s="581">
        <f t="shared" si="44"/>
        <v>-50</v>
      </c>
      <c r="CE27">
        <f t="shared" si="45"/>
        <v>-50</v>
      </c>
    </row>
    <row r="28" spans="5:83" x14ac:dyDescent="0.2">
      <c r="E28" s="176">
        <v>23</v>
      </c>
      <c r="F28" s="223">
        <f t="shared" si="63"/>
        <v>2.53E-2</v>
      </c>
      <c r="G28" s="223">
        <f t="shared" si="46"/>
        <v>4.6000000000000006E-2</v>
      </c>
      <c r="H28" s="223">
        <f t="shared" si="0"/>
        <v>0.60719999999999996</v>
      </c>
      <c r="I28" s="223">
        <f t="shared" si="64"/>
        <v>0.55200000000000005</v>
      </c>
      <c r="J28" s="559">
        <f t="shared" si="1"/>
        <v>12</v>
      </c>
      <c r="K28" s="454">
        <f t="shared" si="2"/>
        <v>24.25</v>
      </c>
      <c r="L28" s="454">
        <f t="shared" si="3"/>
        <v>36.25</v>
      </c>
      <c r="M28" s="454"/>
      <c r="N28" s="223">
        <f t="shared" si="4"/>
        <v>0.66896551724137931</v>
      </c>
      <c r="O28" s="178">
        <f t="shared" si="47"/>
        <v>2.8961428571428565</v>
      </c>
      <c r="P28" s="178">
        <f t="shared" si="5"/>
        <v>5.0263636363636364</v>
      </c>
      <c r="Q28" s="223">
        <f t="shared" si="6"/>
        <v>0.12067261904761901</v>
      </c>
      <c r="R28" s="223">
        <f t="shared" si="7"/>
        <v>0.24134523809523803</v>
      </c>
      <c r="S28" s="454">
        <f t="shared" si="8"/>
        <v>24</v>
      </c>
      <c r="T28" s="223">
        <f t="shared" si="9"/>
        <v>0.30400434074877919</v>
      </c>
      <c r="U28" s="223">
        <f t="shared" si="10"/>
        <v>1.1906836679327184</v>
      </c>
      <c r="V28" s="223">
        <f t="shared" si="11"/>
        <v>0.58920428928629365</v>
      </c>
      <c r="W28" s="203">
        <f t="shared" si="12"/>
        <v>350</v>
      </c>
      <c r="X28" s="454">
        <f t="shared" si="48"/>
        <v>350</v>
      </c>
      <c r="Z28" s="223">
        <f t="shared" si="13"/>
        <v>0.48799916151346817</v>
      </c>
      <c r="AA28" s="179">
        <f t="shared" si="14"/>
        <v>0.94581280788177335</v>
      </c>
      <c r="AB28" s="179">
        <f t="shared" si="15"/>
        <v>8.077227500912576E-2</v>
      </c>
      <c r="AC28" s="179"/>
      <c r="AD28" s="179">
        <f t="shared" si="16"/>
        <v>0.56206185567010303</v>
      </c>
      <c r="AE28" s="563">
        <f t="shared" si="17"/>
        <v>310.43337465529896</v>
      </c>
      <c r="AF28" s="546">
        <f t="shared" si="18"/>
        <v>2.8524639175257726E-2</v>
      </c>
      <c r="AH28" s="179">
        <f t="shared" si="19"/>
        <v>0.37541466435498488</v>
      </c>
      <c r="AI28" s="179">
        <f t="shared" si="20"/>
        <v>0.37541466435498488</v>
      </c>
      <c r="AJ28" s="179">
        <f t="shared" si="21"/>
        <v>1.177390499803028</v>
      </c>
      <c r="AL28" s="563">
        <f t="shared" si="22"/>
        <v>25.3</v>
      </c>
      <c r="AM28" s="472">
        <f t="shared" si="23"/>
        <v>310.43337465529896</v>
      </c>
      <c r="AO28">
        <f t="shared" si="49"/>
        <v>25.3</v>
      </c>
      <c r="AP28" s="472">
        <f t="shared" si="24"/>
        <v>310.43337465529896</v>
      </c>
      <c r="AQ28" s="472"/>
      <c r="AR28" s="6">
        <f t="shared" si="50"/>
        <v>3.2213031253820135</v>
      </c>
      <c r="AS28" s="6">
        <f t="shared" si="25"/>
        <v>1.470374102057024</v>
      </c>
      <c r="AT28" s="6">
        <f t="shared" si="51"/>
        <v>1.7509290233249895</v>
      </c>
      <c r="AU28" s="179">
        <f t="shared" si="52"/>
        <v>0.45645319450731692</v>
      </c>
      <c r="AW28" s="6">
        <f t="shared" si="26"/>
        <v>0.15500193659184461</v>
      </c>
      <c r="AX28" s="6">
        <f t="shared" si="27"/>
        <v>0.5636434057885259</v>
      </c>
      <c r="AY28" s="6">
        <f t="shared" si="28"/>
        <v>0.1554333483863938</v>
      </c>
      <c r="AZ28" s="6"/>
      <c r="BA28" s="179">
        <f t="shared" si="53"/>
        <v>0.14643629458487398</v>
      </c>
      <c r="BB28" s="179">
        <f t="shared" si="29"/>
        <v>0.15979716841204455</v>
      </c>
      <c r="BC28" s="179">
        <f t="shared" si="30"/>
        <v>0.2875756092016386</v>
      </c>
      <c r="BD28" s="179"/>
      <c r="BE28" s="546">
        <f t="shared" si="31"/>
        <v>7.5052559301117972E-3</v>
      </c>
      <c r="BF28" s="546">
        <f t="shared" si="32"/>
        <v>3.1684649937874926E-2</v>
      </c>
      <c r="BG28" s="546">
        <f t="shared" si="33"/>
        <v>3.8804171831912366E-3</v>
      </c>
      <c r="BH28" s="546">
        <f t="shared" si="34"/>
        <v>2.0396442819148944E-2</v>
      </c>
      <c r="BI28">
        <f t="shared" si="35"/>
        <v>3.48E-3</v>
      </c>
      <c r="BJ28">
        <f t="shared" si="36"/>
        <v>6.7121319639731031E-2</v>
      </c>
      <c r="BK28" s="472">
        <f t="shared" si="54"/>
        <v>67.121319639731027</v>
      </c>
      <c r="BL28" s="179">
        <f t="shared" si="37"/>
        <v>7.5899999999999995E-3</v>
      </c>
      <c r="BM28" s="179">
        <f t="shared" si="38"/>
        <v>1.3800000000000002E-2</v>
      </c>
      <c r="BN28" s="546"/>
      <c r="BP28" s="472">
        <f t="shared" si="55"/>
        <v>21.39</v>
      </c>
      <c r="BQ28" s="546">
        <f t="shared" si="39"/>
        <v>4.2887176743495988E-3</v>
      </c>
      <c r="BR28" s="546">
        <f t="shared" si="56"/>
        <v>5.1070270065014661E-3</v>
      </c>
      <c r="BS28" s="546">
        <f t="shared" si="40"/>
        <v>8.2699731007693563E-3</v>
      </c>
      <c r="BT28" s="546">
        <f t="shared" si="41"/>
        <v>7.3310992944032359E-3</v>
      </c>
      <c r="BU28" s="546">
        <f t="shared" si="42"/>
        <v>2.5032194010010504E-2</v>
      </c>
      <c r="BV28" s="656">
        <f t="shared" si="43"/>
        <v>8.0939888220763739E-3</v>
      </c>
      <c r="BW28" s="472">
        <f t="shared" si="57"/>
        <v>33.126182832086876</v>
      </c>
      <c r="BX28" s="179">
        <f t="shared" si="58"/>
        <v>0.12163750247181791</v>
      </c>
      <c r="BY28" s="6">
        <f t="shared" si="59"/>
        <v>1.1592</v>
      </c>
      <c r="BZ28" s="179">
        <f t="shared" si="60"/>
        <v>0.90503283809454638</v>
      </c>
      <c r="CA28" s="6">
        <f t="shared" si="61"/>
        <v>90.503283809454643</v>
      </c>
      <c r="CB28">
        <f t="shared" si="62"/>
        <v>23</v>
      </c>
      <c r="CD28" s="581">
        <f t="shared" si="44"/>
        <v>-50</v>
      </c>
      <c r="CE28">
        <f t="shared" si="45"/>
        <v>-50</v>
      </c>
    </row>
    <row r="29" spans="5:83" x14ac:dyDescent="0.2">
      <c r="E29" s="176">
        <v>24</v>
      </c>
      <c r="F29" s="223">
        <f t="shared" si="63"/>
        <v>2.64E-2</v>
      </c>
      <c r="G29" s="223">
        <f t="shared" si="46"/>
        <v>4.8000000000000001E-2</v>
      </c>
      <c r="H29" s="223">
        <f t="shared" si="0"/>
        <v>0.63359999999999994</v>
      </c>
      <c r="I29" s="223">
        <f t="shared" si="64"/>
        <v>0.57600000000000007</v>
      </c>
      <c r="J29" s="559">
        <f t="shared" si="1"/>
        <v>12</v>
      </c>
      <c r="K29" s="454">
        <f t="shared" si="2"/>
        <v>24.25</v>
      </c>
      <c r="L29" s="454">
        <f t="shared" si="3"/>
        <v>36.25</v>
      </c>
      <c r="M29" s="454"/>
      <c r="N29" s="223">
        <f t="shared" si="4"/>
        <v>0.66896551724137931</v>
      </c>
      <c r="O29" s="178">
        <f t="shared" si="47"/>
        <v>2.8961428571428565</v>
      </c>
      <c r="P29" s="178">
        <f t="shared" si="5"/>
        <v>5.0263636363636364</v>
      </c>
      <c r="Q29" s="223">
        <f t="shared" si="6"/>
        <v>0.12067261904761901</v>
      </c>
      <c r="R29" s="223">
        <f t="shared" si="7"/>
        <v>0.24134523809523803</v>
      </c>
      <c r="S29" s="454">
        <f t="shared" si="8"/>
        <v>24</v>
      </c>
      <c r="T29" s="223">
        <f t="shared" si="9"/>
        <v>0.31722192078133482</v>
      </c>
      <c r="U29" s="223">
        <f t="shared" si="10"/>
        <v>1.2424525230602279</v>
      </c>
      <c r="V29" s="223">
        <f t="shared" si="11"/>
        <v>0.61482186708134989</v>
      </c>
      <c r="W29" s="203">
        <f t="shared" si="12"/>
        <v>350</v>
      </c>
      <c r="X29" s="454">
        <f t="shared" si="48"/>
        <v>350</v>
      </c>
      <c r="Z29" s="223">
        <f t="shared" si="13"/>
        <v>0.48799916151346817</v>
      </c>
      <c r="AA29" s="179">
        <f t="shared" si="14"/>
        <v>0.94581280788177335</v>
      </c>
      <c r="AB29" s="179">
        <f t="shared" si="15"/>
        <v>8.077227500912576E-2</v>
      </c>
      <c r="AC29" s="179"/>
      <c r="AD29" s="179">
        <f t="shared" si="16"/>
        <v>0.56206185567010303</v>
      </c>
      <c r="AE29" s="563">
        <f t="shared" si="17"/>
        <v>323.93047790118158</v>
      </c>
      <c r="AF29" s="546">
        <f t="shared" si="18"/>
        <v>2.8524639175257726E-2</v>
      </c>
      <c r="AH29" s="179">
        <f t="shared" si="19"/>
        <v>0.38348902172974136</v>
      </c>
      <c r="AI29" s="179">
        <f t="shared" si="20"/>
        <v>0.38348902172974136</v>
      </c>
      <c r="AJ29" s="179">
        <f t="shared" si="21"/>
        <v>1.1851031302292467</v>
      </c>
      <c r="AL29" s="563">
        <f t="shared" si="22"/>
        <v>26.4</v>
      </c>
      <c r="AM29" s="472">
        <f t="shared" si="23"/>
        <v>323.93047790118158</v>
      </c>
      <c r="AO29">
        <f t="shared" si="49"/>
        <v>26.4</v>
      </c>
      <c r="AP29" s="472">
        <f t="shared" si="24"/>
        <v>323.93047790118158</v>
      </c>
      <c r="AQ29" s="472"/>
      <c r="AR29" s="6">
        <f t="shared" si="50"/>
        <v>3.0870821618244291</v>
      </c>
      <c r="AS29" s="6">
        <f t="shared" si="25"/>
        <v>1.501998668441487</v>
      </c>
      <c r="AT29" s="6">
        <f t="shared" si="51"/>
        <v>1.5850834933829421</v>
      </c>
      <c r="AU29" s="179">
        <f t="shared" si="52"/>
        <v>0.4865431464751892</v>
      </c>
      <c r="AW29" s="6">
        <f t="shared" si="26"/>
        <v>0.16521985352856358</v>
      </c>
      <c r="AX29" s="6">
        <f t="shared" si="27"/>
        <v>0.60079946737659484</v>
      </c>
      <c r="AY29" s="6">
        <f t="shared" si="28"/>
        <v>0.14682878675547251</v>
      </c>
      <c r="AZ29" s="6"/>
      <c r="BA29" s="179">
        <f t="shared" si="53"/>
        <v>0.15443758013878672</v>
      </c>
      <c r="BB29" s="179">
        <f t="shared" si="29"/>
        <v>0.15865153776947929</v>
      </c>
      <c r="BC29" s="179">
        <f t="shared" si="30"/>
        <v>0.28551389913987923</v>
      </c>
      <c r="BD29" s="179"/>
      <c r="BE29" s="546">
        <f t="shared" si="31"/>
        <v>8.3478381556934596E-3</v>
      </c>
      <c r="BF29" s="546">
        <f t="shared" si="32"/>
        <v>3.377334075266606E-2</v>
      </c>
      <c r="BG29" s="546">
        <f t="shared" si="33"/>
        <v>4.0491309737647691E-3</v>
      </c>
      <c r="BH29" s="546">
        <f t="shared" si="34"/>
        <v>2.1283244680851073E-2</v>
      </c>
      <c r="BI29">
        <f t="shared" si="35"/>
        <v>3.48E-3</v>
      </c>
      <c r="BJ29">
        <f t="shared" si="36"/>
        <v>7.1139326910061487E-2</v>
      </c>
      <c r="BK29" s="472">
        <f t="shared" si="54"/>
        <v>71.139326910061484</v>
      </c>
      <c r="BL29" s="179">
        <f t="shared" si="37"/>
        <v>7.92E-3</v>
      </c>
      <c r="BM29" s="179">
        <f t="shared" si="38"/>
        <v>1.44E-2</v>
      </c>
      <c r="BN29" s="546"/>
      <c r="BP29" s="472">
        <f t="shared" si="55"/>
        <v>22.32</v>
      </c>
      <c r="BQ29" s="546">
        <f t="shared" si="39"/>
        <v>4.7701932318248343E-3</v>
      </c>
      <c r="BR29" s="546">
        <f t="shared" si="56"/>
        <v>5.0340620873241034E-3</v>
      </c>
      <c r="BS29" s="546">
        <f t="shared" si="40"/>
        <v>8.1518186602057129E-3</v>
      </c>
      <c r="BT29" s="546">
        <f t="shared" si="41"/>
        <v>8.5996717220453225E-3</v>
      </c>
      <c r="BU29" s="546">
        <f t="shared" si="42"/>
        <v>2.6593947532543766E-2</v>
      </c>
      <c r="BV29" s="656">
        <f t="shared" si="43"/>
        <v>8.8131144830169983E-3</v>
      </c>
      <c r="BW29" s="472">
        <f t="shared" si="57"/>
        <v>35.407062015560761</v>
      </c>
      <c r="BX29" s="179">
        <f t="shared" si="58"/>
        <v>0.12886638892562224</v>
      </c>
      <c r="BY29" s="6">
        <f t="shared" si="59"/>
        <v>1.2096</v>
      </c>
      <c r="BZ29" s="179">
        <f t="shared" si="60"/>
        <v>0.90372086292800935</v>
      </c>
      <c r="CA29" s="6">
        <f t="shared" si="61"/>
        <v>90.37208629280093</v>
      </c>
      <c r="CB29">
        <f t="shared" si="62"/>
        <v>24</v>
      </c>
      <c r="CD29" s="581">
        <f t="shared" si="44"/>
        <v>-50</v>
      </c>
      <c r="CE29">
        <f t="shared" si="45"/>
        <v>-50</v>
      </c>
    </row>
    <row r="30" spans="5:83" x14ac:dyDescent="0.2">
      <c r="E30" s="176">
        <v>25</v>
      </c>
      <c r="F30" s="223">
        <f t="shared" si="63"/>
        <v>2.75E-2</v>
      </c>
      <c r="G30" s="223">
        <f t="shared" si="46"/>
        <v>0.05</v>
      </c>
      <c r="H30" s="223">
        <f t="shared" si="0"/>
        <v>0.66</v>
      </c>
      <c r="I30" s="223">
        <f t="shared" si="64"/>
        <v>0.60000000000000009</v>
      </c>
      <c r="J30" s="559">
        <f t="shared" si="1"/>
        <v>12</v>
      </c>
      <c r="K30" s="454">
        <f t="shared" si="2"/>
        <v>24.25</v>
      </c>
      <c r="L30" s="454">
        <f t="shared" si="3"/>
        <v>36.25</v>
      </c>
      <c r="M30" s="454"/>
      <c r="N30" s="223">
        <f t="shared" si="4"/>
        <v>0.66896551724137931</v>
      </c>
      <c r="O30" s="178">
        <f t="shared" si="47"/>
        <v>2.8961428571428565</v>
      </c>
      <c r="P30" s="178">
        <f t="shared" si="5"/>
        <v>5.0263636363636364</v>
      </c>
      <c r="Q30" s="223">
        <f t="shared" si="6"/>
        <v>0.12067261904761901</v>
      </c>
      <c r="R30" s="223">
        <f t="shared" si="7"/>
        <v>0.24134523809523803</v>
      </c>
      <c r="S30" s="454">
        <f t="shared" si="8"/>
        <v>24</v>
      </c>
      <c r="T30" s="223">
        <f t="shared" si="9"/>
        <v>0.33043950081389051</v>
      </c>
      <c r="U30" s="223">
        <f t="shared" si="10"/>
        <v>1.2942213781877376</v>
      </c>
      <c r="V30" s="223">
        <f t="shared" si="11"/>
        <v>0.64043944487640636</v>
      </c>
      <c r="W30" s="203">
        <f t="shared" si="12"/>
        <v>350</v>
      </c>
      <c r="X30" s="454">
        <f t="shared" si="48"/>
        <v>350</v>
      </c>
      <c r="Z30" s="223">
        <f t="shared" si="13"/>
        <v>0.48799916151346817</v>
      </c>
      <c r="AA30" s="179">
        <f t="shared" si="14"/>
        <v>0.94581280788177335</v>
      </c>
      <c r="AB30" s="179">
        <f t="shared" si="15"/>
        <v>8.077227500912576E-2</v>
      </c>
      <c r="AC30" s="179"/>
      <c r="AD30" s="179">
        <f t="shared" si="16"/>
        <v>0.56206185567010303</v>
      </c>
      <c r="AE30" s="563">
        <f t="shared" si="17"/>
        <v>337.42758114706413</v>
      </c>
      <c r="AF30" s="546">
        <f t="shared" si="18"/>
        <v>2.8524639175257726E-2</v>
      </c>
      <c r="AH30" s="179">
        <f t="shared" si="19"/>
        <v>0.39139684383206536</v>
      </c>
      <c r="AI30" s="179">
        <f t="shared" si="20"/>
        <v>0.39139684383206536</v>
      </c>
      <c r="AJ30" s="179">
        <f t="shared" si="21"/>
        <v>1.1928157606554652</v>
      </c>
      <c r="AL30" s="563">
        <f t="shared" si="22"/>
        <v>27.5</v>
      </c>
      <c r="AM30" s="472">
        <f t="shared" si="23"/>
        <v>337.42758114706413</v>
      </c>
      <c r="AO30">
        <f t="shared" si="49"/>
        <v>27.5</v>
      </c>
      <c r="AP30" s="472">
        <f t="shared" si="24"/>
        <v>337.42758114706413</v>
      </c>
      <c r="AQ30" s="472"/>
      <c r="AR30" s="6">
        <f t="shared" si="50"/>
        <v>2.9635988753514519</v>
      </c>
      <c r="AS30" s="6">
        <f t="shared" si="25"/>
        <v>1.5329709716755893</v>
      </c>
      <c r="AT30" s="6">
        <f t="shared" si="51"/>
        <v>1.4306279036758627</v>
      </c>
      <c r="AU30" s="179">
        <f t="shared" si="52"/>
        <v>0.51726668694115863</v>
      </c>
      <c r="AW30" s="6">
        <f t="shared" si="26"/>
        <v>0.17565292383782796</v>
      </c>
      <c r="AX30" s="6">
        <f t="shared" si="27"/>
        <v>0.63873790486482895</v>
      </c>
      <c r="AY30" s="6">
        <f t="shared" si="28"/>
        <v>0.13804304333714465</v>
      </c>
      <c r="AZ30" s="6"/>
      <c r="BA30" s="179">
        <f t="shared" si="53"/>
        <v>0.162522669362061</v>
      </c>
      <c r="BB30" s="179">
        <f t="shared" si="29"/>
        <v>0.15700385896742872</v>
      </c>
      <c r="BC30" s="179">
        <f t="shared" si="30"/>
        <v>0.28254868867978822</v>
      </c>
      <c r="BD30" s="179"/>
      <c r="BE30" s="546">
        <f t="shared" si="31"/>
        <v>9.2447663197994297E-3</v>
      </c>
      <c r="BF30" s="546">
        <f t="shared" si="32"/>
        <v>3.5906012045649575E-2</v>
      </c>
      <c r="BG30" s="546">
        <f t="shared" si="33"/>
        <v>4.2178447643383011E-3</v>
      </c>
      <c r="BH30" s="546">
        <f t="shared" si="34"/>
        <v>2.2170046542553199E-2</v>
      </c>
      <c r="BI30">
        <f t="shared" si="35"/>
        <v>3.48E-3</v>
      </c>
      <c r="BJ30">
        <f t="shared" si="36"/>
        <v>7.5259750097558656E-2</v>
      </c>
      <c r="BK30" s="472">
        <f t="shared" si="54"/>
        <v>75.259750097558651</v>
      </c>
      <c r="BL30" s="179">
        <f t="shared" si="37"/>
        <v>8.2500000000000004E-3</v>
      </c>
      <c r="BM30" s="179">
        <f t="shared" si="38"/>
        <v>1.4999999999999999E-2</v>
      </c>
      <c r="BN30" s="546"/>
      <c r="BP30" s="472">
        <f t="shared" si="55"/>
        <v>23.25</v>
      </c>
      <c r="BQ30" s="546">
        <f t="shared" si="39"/>
        <v>5.2827236113139608E-3</v>
      </c>
      <c r="BR30" s="546">
        <f t="shared" si="56"/>
        <v>4.9300423461328497E-3</v>
      </c>
      <c r="BS30" s="546">
        <f t="shared" si="40"/>
        <v>7.9833761474667874E-3</v>
      </c>
      <c r="BT30" s="546">
        <f t="shared" si="41"/>
        <v>1.0022238863076691E-2</v>
      </c>
      <c r="BU30" s="546">
        <f t="shared" si="42"/>
        <v>2.8259518104570058E-2</v>
      </c>
      <c r="BV30" s="656">
        <f t="shared" si="43"/>
        <v>9.5628412359125437E-3</v>
      </c>
      <c r="BW30" s="472">
        <f t="shared" si="57"/>
        <v>37.822359340482599</v>
      </c>
      <c r="BX30" s="179">
        <f t="shared" si="58"/>
        <v>0.13633210943804125</v>
      </c>
      <c r="BY30" s="6">
        <f t="shared" si="59"/>
        <v>1.2600000000000002</v>
      </c>
      <c r="BZ30" s="179">
        <f t="shared" si="60"/>
        <v>0.90236412346564998</v>
      </c>
      <c r="CA30" s="6">
        <f t="shared" si="61"/>
        <v>90.236412346565004</v>
      </c>
      <c r="CB30">
        <f t="shared" si="62"/>
        <v>25</v>
      </c>
      <c r="CD30" s="581">
        <f t="shared" si="44"/>
        <v>-50</v>
      </c>
      <c r="CE30">
        <f t="shared" si="45"/>
        <v>-50</v>
      </c>
    </row>
    <row r="31" spans="5:83" x14ac:dyDescent="0.2">
      <c r="E31" s="176">
        <v>26</v>
      </c>
      <c r="F31" s="223">
        <f t="shared" si="63"/>
        <v>2.86E-2</v>
      </c>
      <c r="G31" s="223">
        <f t="shared" si="46"/>
        <v>5.2000000000000005E-2</v>
      </c>
      <c r="H31" s="223">
        <f t="shared" si="0"/>
        <v>0.68640000000000001</v>
      </c>
      <c r="I31" s="223">
        <f t="shared" si="64"/>
        <v>0.62400000000000011</v>
      </c>
      <c r="J31" s="559">
        <f t="shared" si="1"/>
        <v>12</v>
      </c>
      <c r="K31" s="454">
        <f t="shared" si="2"/>
        <v>24.25</v>
      </c>
      <c r="L31" s="454">
        <f t="shared" si="3"/>
        <v>36.25</v>
      </c>
      <c r="M31" s="454"/>
      <c r="N31" s="223">
        <f t="shared" si="4"/>
        <v>0.66896551724137931</v>
      </c>
      <c r="O31" s="178">
        <f t="shared" si="47"/>
        <v>2.8961428571428565</v>
      </c>
      <c r="P31" s="178">
        <f t="shared" si="5"/>
        <v>5.0263636363636364</v>
      </c>
      <c r="Q31" s="223">
        <f t="shared" si="6"/>
        <v>0.12067261904761901</v>
      </c>
      <c r="R31" s="223">
        <f t="shared" si="7"/>
        <v>0.24134523809523803</v>
      </c>
      <c r="S31" s="454">
        <f t="shared" si="8"/>
        <v>24</v>
      </c>
      <c r="T31" s="223">
        <f t="shared" si="9"/>
        <v>0.34365708084644603</v>
      </c>
      <c r="U31" s="223">
        <f t="shared" si="10"/>
        <v>1.3459902333152469</v>
      </c>
      <c r="V31" s="223">
        <f t="shared" si="11"/>
        <v>0.66605702267146238</v>
      </c>
      <c r="W31" s="203">
        <f t="shared" si="12"/>
        <v>350</v>
      </c>
      <c r="X31" s="454">
        <f t="shared" si="48"/>
        <v>350</v>
      </c>
      <c r="Z31" s="223">
        <f t="shared" si="13"/>
        <v>0.48799916151346817</v>
      </c>
      <c r="AA31" s="179">
        <f t="shared" si="14"/>
        <v>0.94581280788177335</v>
      </c>
      <c r="AB31" s="179">
        <f t="shared" si="15"/>
        <v>8.077227500912576E-2</v>
      </c>
      <c r="AC31" s="179"/>
      <c r="AD31" s="179">
        <f t="shared" si="16"/>
        <v>0.56206185567010303</v>
      </c>
      <c r="AE31" s="563">
        <f t="shared" si="17"/>
        <v>350.92468439294663</v>
      </c>
      <c r="AF31" s="546">
        <f t="shared" si="18"/>
        <v>2.8524639175257726E-2</v>
      </c>
      <c r="AH31" s="179">
        <f t="shared" si="19"/>
        <v>0.39914802885166578</v>
      </c>
      <c r="AI31" s="179">
        <f t="shared" si="20"/>
        <v>0.39914802885166578</v>
      </c>
      <c r="AJ31" s="179">
        <f t="shared" si="21"/>
        <v>1.2808503917419747</v>
      </c>
      <c r="AL31" s="563">
        <f t="shared" si="22"/>
        <v>28.6</v>
      </c>
      <c r="AM31" s="472">
        <f t="shared" si="23"/>
        <v>350</v>
      </c>
      <c r="AO31">
        <f t="shared" si="49"/>
        <v>28.6</v>
      </c>
      <c r="AP31" s="472">
        <f t="shared" si="24"/>
        <v>350</v>
      </c>
      <c r="AQ31" s="472"/>
      <c r="AR31" s="6">
        <f t="shared" si="50"/>
        <v>2.8571428571428572</v>
      </c>
      <c r="AS31" s="6">
        <f t="shared" si="25"/>
        <v>1.5633297796690242</v>
      </c>
      <c r="AT31" s="6">
        <f t="shared" si="51"/>
        <v>1.293813077473833</v>
      </c>
      <c r="AU31" s="179">
        <f t="shared" si="52"/>
        <v>0.54716542288415848</v>
      </c>
      <c r="AW31" s="6">
        <f t="shared" si="26"/>
        <v>0.18629679874389207</v>
      </c>
      <c r="AX31" s="6">
        <f t="shared" si="27"/>
        <v>0.67744290452324385</v>
      </c>
      <c r="AY31" s="6">
        <f t="shared" si="28"/>
        <v>0.12983527724825128</v>
      </c>
      <c r="AZ31" s="6"/>
      <c r="BA31" s="179">
        <f t="shared" si="53"/>
        <v>0.1704640035327144</v>
      </c>
      <c r="BB31" s="179">
        <f t="shared" si="29"/>
        <v>0.15507548638750787</v>
      </c>
      <c r="BC31" s="179">
        <f t="shared" si="30"/>
        <v>0.27907833357306616</v>
      </c>
      <c r="BD31" s="179"/>
      <c r="BE31" s="546">
        <f t="shared" si="31"/>
        <v>1.0170291775140443E-2</v>
      </c>
      <c r="BF31" s="546">
        <f t="shared" si="32"/>
        <v>3.7981429620416313E-2</v>
      </c>
      <c r="BG31" s="546">
        <f t="shared" si="33"/>
        <v>4.3749999999999995E-3</v>
      </c>
      <c r="BH31" s="546">
        <f t="shared" si="34"/>
        <v>2.2996093750000002E-2</v>
      </c>
      <c r="BI31">
        <f t="shared" si="35"/>
        <v>3.48E-3</v>
      </c>
      <c r="BJ31">
        <f t="shared" si="36"/>
        <v>7.9282206123564472E-2</v>
      </c>
      <c r="BK31" s="472">
        <f t="shared" si="54"/>
        <v>79.282206123564478</v>
      </c>
      <c r="BL31" s="179">
        <f t="shared" si="37"/>
        <v>8.5799999999999991E-3</v>
      </c>
      <c r="BM31" s="179">
        <f t="shared" si="38"/>
        <v>1.5600000000000001E-2</v>
      </c>
      <c r="BN31" s="546"/>
      <c r="BP31" s="472">
        <f t="shared" si="55"/>
        <v>24.18</v>
      </c>
      <c r="BQ31" s="546">
        <f t="shared" si="39"/>
        <v>5.8115953000802542E-3</v>
      </c>
      <c r="BR31" s="546">
        <f t="shared" si="56"/>
        <v>4.8096812956644284E-3</v>
      </c>
      <c r="BS31" s="546">
        <f t="shared" si="40"/>
        <v>7.78847162699196E-3</v>
      </c>
      <c r="BT31" s="546">
        <f t="shared" si="41"/>
        <v>1.1533870938847285E-2</v>
      </c>
      <c r="BU31" s="546">
        <f t="shared" si="42"/>
        <v>2.9987784566674336E-2</v>
      </c>
      <c r="BV31" s="656">
        <f t="shared" si="43"/>
        <v>1.0315914893617023E-2</v>
      </c>
      <c r="BW31" s="472">
        <f t="shared" si="57"/>
        <v>40.303699460291362</v>
      </c>
      <c r="BX31" s="179">
        <f t="shared" si="58"/>
        <v>0.14376590558385585</v>
      </c>
      <c r="BY31" s="6">
        <f t="shared" si="59"/>
        <v>1.3104</v>
      </c>
      <c r="BZ31" s="179">
        <f t="shared" si="60"/>
        <v>0.90113514212387413</v>
      </c>
      <c r="CA31" s="6">
        <f t="shared" si="61"/>
        <v>90.113514212387415</v>
      </c>
      <c r="CB31">
        <f t="shared" si="62"/>
        <v>26</v>
      </c>
      <c r="CD31" s="581">
        <f t="shared" si="44"/>
        <v>-50</v>
      </c>
      <c r="CE31">
        <f t="shared" si="45"/>
        <v>-50</v>
      </c>
    </row>
    <row r="32" spans="5:83" x14ac:dyDescent="0.2">
      <c r="E32" s="176">
        <v>27</v>
      </c>
      <c r="F32" s="223">
        <f t="shared" si="63"/>
        <v>2.9700000000000001E-2</v>
      </c>
      <c r="G32" s="223">
        <f t="shared" si="46"/>
        <v>5.4000000000000006E-2</v>
      </c>
      <c r="H32" s="223">
        <f t="shared" si="0"/>
        <v>0.71279999999999999</v>
      </c>
      <c r="I32" s="223">
        <f t="shared" si="64"/>
        <v>0.64800000000000013</v>
      </c>
      <c r="J32" s="559">
        <f t="shared" si="1"/>
        <v>12</v>
      </c>
      <c r="K32" s="454">
        <f t="shared" si="2"/>
        <v>24.25</v>
      </c>
      <c r="L32" s="454">
        <f t="shared" si="3"/>
        <v>36.25</v>
      </c>
      <c r="M32" s="454"/>
      <c r="N32" s="223">
        <f t="shared" si="4"/>
        <v>0.66896551724137931</v>
      </c>
      <c r="O32" s="178">
        <f t="shared" si="47"/>
        <v>2.8961428571428565</v>
      </c>
      <c r="P32" s="178">
        <f t="shared" si="5"/>
        <v>5.0263636363636364</v>
      </c>
      <c r="Q32" s="223">
        <f t="shared" si="6"/>
        <v>0.12067261904761901</v>
      </c>
      <c r="R32" s="223">
        <f t="shared" si="7"/>
        <v>0.24134523809523803</v>
      </c>
      <c r="S32" s="454">
        <f t="shared" si="8"/>
        <v>24</v>
      </c>
      <c r="T32" s="223">
        <f t="shared" si="9"/>
        <v>0.35687466087900171</v>
      </c>
      <c r="U32" s="223">
        <f t="shared" si="10"/>
        <v>1.3977590884427569</v>
      </c>
      <c r="V32" s="223">
        <f t="shared" si="11"/>
        <v>0.69167460046651885</v>
      </c>
      <c r="W32" s="203">
        <f t="shared" si="12"/>
        <v>350</v>
      </c>
      <c r="X32" s="454">
        <f t="shared" si="48"/>
        <v>350</v>
      </c>
      <c r="Z32" s="223">
        <f t="shared" si="13"/>
        <v>0.48799916151346817</v>
      </c>
      <c r="AA32" s="179">
        <f t="shared" si="14"/>
        <v>0.94581280788177335</v>
      </c>
      <c r="AB32" s="179">
        <f t="shared" si="15"/>
        <v>8.077227500912576E-2</v>
      </c>
      <c r="AC32" s="179"/>
      <c r="AD32" s="179">
        <f t="shared" si="16"/>
        <v>0.56206185567010303</v>
      </c>
      <c r="AE32" s="563">
        <f t="shared" si="17"/>
        <v>364.42178763882924</v>
      </c>
      <c r="AF32" s="546">
        <f t="shared" si="18"/>
        <v>2.8524639175257726E-2</v>
      </c>
      <c r="AH32" s="179">
        <f t="shared" si="19"/>
        <v>0.40675153166354316</v>
      </c>
      <c r="AI32" s="179">
        <f t="shared" si="20"/>
        <v>0.40675153166354316</v>
      </c>
      <c r="AJ32" s="179">
        <f t="shared" si="21"/>
        <v>1.286482616047069</v>
      </c>
      <c r="AL32" s="563">
        <f t="shared" si="22"/>
        <v>29.7</v>
      </c>
      <c r="AM32" s="472">
        <f t="shared" si="23"/>
        <v>350</v>
      </c>
      <c r="AO32">
        <f t="shared" si="49"/>
        <v>29.7</v>
      </c>
      <c r="AP32" s="472">
        <f t="shared" si="24"/>
        <v>350</v>
      </c>
      <c r="AQ32" s="472"/>
      <c r="AR32" s="6">
        <f t="shared" si="50"/>
        <v>2.8571428571428572</v>
      </c>
      <c r="AS32" s="6">
        <f t="shared" si="25"/>
        <v>1.5931101656822106</v>
      </c>
      <c r="AT32" s="6">
        <f t="shared" si="51"/>
        <v>1.2640326914606466</v>
      </c>
      <c r="AU32" s="179">
        <f t="shared" si="52"/>
        <v>0.55758855798877371</v>
      </c>
      <c r="AW32" s="6">
        <f t="shared" si="26"/>
        <v>0.19714738300317355</v>
      </c>
      <c r="AX32" s="6">
        <f t="shared" si="27"/>
        <v>0.71689957455699493</v>
      </c>
      <c r="AY32" s="6">
        <f t="shared" si="28"/>
        <v>0.1317255120574779</v>
      </c>
      <c r="AZ32" s="6"/>
      <c r="BA32" s="179">
        <f t="shared" si="53"/>
        <v>0.17535796472861984</v>
      </c>
      <c r="BB32" s="179">
        <f t="shared" si="29"/>
        <v>0.15620025728675646</v>
      </c>
      <c r="BC32" s="179">
        <f t="shared" si="30"/>
        <v>0.28110250383702001</v>
      </c>
      <c r="BD32" s="179"/>
      <c r="BE32" s="546">
        <f t="shared" si="31"/>
        <v>1.0762645527817357E-2</v>
      </c>
      <c r="BF32" s="546">
        <f t="shared" si="32"/>
        <v>3.8704950434859026E-2</v>
      </c>
      <c r="BG32" s="546">
        <f t="shared" si="33"/>
        <v>4.3749999999999995E-3</v>
      </c>
      <c r="BH32" s="546">
        <f t="shared" si="34"/>
        <v>2.2996093750000002E-2</v>
      </c>
      <c r="BI32">
        <f t="shared" si="35"/>
        <v>3.48E-3</v>
      </c>
      <c r="BJ32">
        <f t="shared" si="36"/>
        <v>8.0619339924254338E-2</v>
      </c>
      <c r="BK32" s="472">
        <f t="shared" si="54"/>
        <v>80.619339924254334</v>
      </c>
      <c r="BL32" s="179">
        <f t="shared" si="37"/>
        <v>8.9099999999999995E-3</v>
      </c>
      <c r="BM32" s="179">
        <f t="shared" si="38"/>
        <v>1.6200000000000003E-2</v>
      </c>
      <c r="BN32" s="546"/>
      <c r="BP32" s="472">
        <f t="shared" si="55"/>
        <v>25.11</v>
      </c>
      <c r="BQ32" s="546">
        <f t="shared" si="39"/>
        <v>6.1500831587527754E-3</v>
      </c>
      <c r="BR32" s="546">
        <f t="shared" si="56"/>
        <v>4.8797040752897834E-3</v>
      </c>
      <c r="BS32" s="546">
        <f t="shared" si="40"/>
        <v>7.9018617663441856E-3</v>
      </c>
      <c r="BT32" s="546">
        <f t="shared" si="41"/>
        <v>1.2091024681268731E-2</v>
      </c>
      <c r="BU32" s="546">
        <f t="shared" si="42"/>
        <v>3.106972977915274E-2</v>
      </c>
      <c r="BV32" s="656">
        <f t="shared" si="43"/>
        <v>1.0712680851063834E-2</v>
      </c>
      <c r="BW32" s="472">
        <f t="shared" si="57"/>
        <v>41.782410630216575</v>
      </c>
      <c r="BX32" s="179">
        <f t="shared" si="58"/>
        <v>0.14751175055447091</v>
      </c>
      <c r="BY32" s="6">
        <f t="shared" si="59"/>
        <v>1.3608000000000002</v>
      </c>
      <c r="BZ32" s="179">
        <f t="shared" si="60"/>
        <v>0.90220075491671792</v>
      </c>
      <c r="CA32" s="6">
        <f t="shared" si="61"/>
        <v>90.220075491671793</v>
      </c>
      <c r="CB32">
        <f t="shared" si="62"/>
        <v>27</v>
      </c>
      <c r="CD32" s="581">
        <f t="shared" si="44"/>
        <v>-50</v>
      </c>
      <c r="CE32">
        <f t="shared" si="45"/>
        <v>-50</v>
      </c>
    </row>
    <row r="33" spans="5:83" x14ac:dyDescent="0.2">
      <c r="E33" s="176">
        <v>28</v>
      </c>
      <c r="F33" s="223">
        <f t="shared" si="63"/>
        <v>3.0800000000000004E-2</v>
      </c>
      <c r="G33" s="223">
        <f t="shared" si="46"/>
        <v>5.6000000000000008E-2</v>
      </c>
      <c r="H33" s="223">
        <f t="shared" si="0"/>
        <v>0.73920000000000008</v>
      </c>
      <c r="I33" s="223">
        <f t="shared" si="64"/>
        <v>0.67200000000000015</v>
      </c>
      <c r="J33" s="559">
        <f t="shared" si="1"/>
        <v>12</v>
      </c>
      <c r="K33" s="454">
        <f t="shared" si="2"/>
        <v>24.25</v>
      </c>
      <c r="L33" s="454">
        <f t="shared" si="3"/>
        <v>36.25</v>
      </c>
      <c r="M33" s="454"/>
      <c r="N33" s="223">
        <f t="shared" si="4"/>
        <v>0.66896551724137931</v>
      </c>
      <c r="O33" s="178">
        <f t="shared" si="47"/>
        <v>2.8961428571428565</v>
      </c>
      <c r="P33" s="178">
        <f t="shared" si="5"/>
        <v>5.0263636363636364</v>
      </c>
      <c r="Q33" s="223">
        <f t="shared" si="6"/>
        <v>0.12067261904761901</v>
      </c>
      <c r="R33" s="223">
        <f t="shared" si="7"/>
        <v>0.24134523809523803</v>
      </c>
      <c r="S33" s="454">
        <f t="shared" si="8"/>
        <v>24</v>
      </c>
      <c r="T33" s="223">
        <f t="shared" si="9"/>
        <v>0.37009224091155735</v>
      </c>
      <c r="U33" s="223">
        <f t="shared" si="10"/>
        <v>1.4495279435702664</v>
      </c>
      <c r="V33" s="223">
        <f t="shared" si="11"/>
        <v>0.7172921782615751</v>
      </c>
      <c r="W33" s="203">
        <f t="shared" si="12"/>
        <v>350</v>
      </c>
      <c r="X33" s="454">
        <f t="shared" si="48"/>
        <v>350</v>
      </c>
      <c r="Z33" s="223">
        <f t="shared" si="13"/>
        <v>0.48799916151346817</v>
      </c>
      <c r="AA33" s="179">
        <f t="shared" si="14"/>
        <v>0.94581280788177335</v>
      </c>
      <c r="AB33" s="179">
        <f t="shared" si="15"/>
        <v>8.077227500912576E-2</v>
      </c>
      <c r="AC33" s="179"/>
      <c r="AD33" s="179">
        <f t="shared" si="16"/>
        <v>0.56206185567010303</v>
      </c>
      <c r="AE33" s="563">
        <f t="shared" si="17"/>
        <v>377.91889088471186</v>
      </c>
      <c r="AF33" s="546">
        <f t="shared" si="18"/>
        <v>2.8524639175257726E-2</v>
      </c>
      <c r="AH33" s="179">
        <f t="shared" si="19"/>
        <v>0.41421548508609191</v>
      </c>
      <c r="AI33" s="179">
        <f t="shared" si="20"/>
        <v>0.41421548508609191</v>
      </c>
      <c r="AJ33" s="179">
        <f t="shared" si="21"/>
        <v>1.2920114704341421</v>
      </c>
      <c r="AL33" s="563">
        <f t="shared" si="22"/>
        <v>30.800000000000004</v>
      </c>
      <c r="AM33" s="472">
        <f t="shared" si="23"/>
        <v>350</v>
      </c>
      <c r="AO33">
        <f t="shared" si="49"/>
        <v>30.800000000000004</v>
      </c>
      <c r="AP33" s="472">
        <f t="shared" si="24"/>
        <v>350</v>
      </c>
      <c r="AQ33" s="472"/>
      <c r="AR33" s="6">
        <f t="shared" si="50"/>
        <v>2.8571428571428572</v>
      </c>
      <c r="AS33" s="6">
        <f t="shared" si="25"/>
        <v>1.62234398325386</v>
      </c>
      <c r="AT33" s="6">
        <f t="shared" si="51"/>
        <v>1.2347988738889972</v>
      </c>
      <c r="AU33" s="179">
        <f t="shared" si="52"/>
        <v>0.56782039413885099</v>
      </c>
      <c r="AW33" s="6">
        <f t="shared" si="26"/>
        <v>0.20820081118424541</v>
      </c>
      <c r="AX33" s="6">
        <f t="shared" si="27"/>
        <v>0.75709385885180147</v>
      </c>
      <c r="AY33" s="6">
        <f t="shared" si="28"/>
        <v>0.13344493093256532</v>
      </c>
      <c r="AZ33" s="6"/>
      <c r="BA33" s="179">
        <f t="shared" si="53"/>
        <v>0.18020680905767578</v>
      </c>
      <c r="BB33" s="179">
        <f t="shared" si="29"/>
        <v>0.15721639650797409</v>
      </c>
      <c r="BC33" s="179">
        <f t="shared" si="30"/>
        <v>0.28293117738911855</v>
      </c>
      <c r="BD33" s="179"/>
      <c r="BE33" s="546">
        <f t="shared" si="31"/>
        <v>1.1366072910762366E-2</v>
      </c>
      <c r="BF33" s="546">
        <f t="shared" si="32"/>
        <v>3.9415192252723434E-2</v>
      </c>
      <c r="BG33" s="546">
        <f t="shared" si="33"/>
        <v>4.3749999999999995E-3</v>
      </c>
      <c r="BH33" s="546">
        <f t="shared" si="34"/>
        <v>2.2996093750000002E-2</v>
      </c>
      <c r="BI33">
        <f t="shared" si="35"/>
        <v>3.48E-3</v>
      </c>
      <c r="BJ33">
        <f t="shared" si="36"/>
        <v>8.1955126415475102E-2</v>
      </c>
      <c r="BK33" s="472">
        <f t="shared" si="54"/>
        <v>81.955126415475107</v>
      </c>
      <c r="BL33" s="179">
        <f t="shared" si="37"/>
        <v>9.2400000000000017E-3</v>
      </c>
      <c r="BM33" s="179">
        <f t="shared" si="38"/>
        <v>1.6800000000000002E-2</v>
      </c>
      <c r="BN33" s="546"/>
      <c r="BP33" s="472">
        <f t="shared" si="55"/>
        <v>26.040000000000003</v>
      </c>
      <c r="BQ33" s="546">
        <f t="shared" si="39"/>
        <v>6.4948988061499235E-3</v>
      </c>
      <c r="BR33" s="546">
        <f t="shared" si="56"/>
        <v>4.9433990661905056E-3</v>
      </c>
      <c r="BS33" s="546">
        <f t="shared" si="40"/>
        <v>8.005005113879287E-3</v>
      </c>
      <c r="BT33" s="546">
        <f t="shared" si="41"/>
        <v>1.2653362254110945E-2</v>
      </c>
      <c r="BU33" s="546">
        <f t="shared" si="42"/>
        <v>3.2146668233167058E-2</v>
      </c>
      <c r="BV33" s="656">
        <f t="shared" si="43"/>
        <v>1.1109446808510641E-2</v>
      </c>
      <c r="BW33" s="472">
        <f t="shared" si="57"/>
        <v>43.256115041677702</v>
      </c>
      <c r="BX33" s="179">
        <f t="shared" si="58"/>
        <v>0.1512512414571528</v>
      </c>
      <c r="BY33" s="6">
        <f t="shared" si="59"/>
        <v>1.4112000000000002</v>
      </c>
      <c r="BZ33" s="179">
        <f t="shared" si="60"/>
        <v>0.90319618465911633</v>
      </c>
      <c r="CA33" s="6">
        <f t="shared" si="61"/>
        <v>90.319618465911631</v>
      </c>
      <c r="CB33">
        <f t="shared" si="62"/>
        <v>28.000000000000004</v>
      </c>
      <c r="CD33" s="581">
        <f t="shared" si="44"/>
        <v>-50</v>
      </c>
      <c r="CE33">
        <f t="shared" si="45"/>
        <v>-50</v>
      </c>
    </row>
    <row r="34" spans="5:83" x14ac:dyDescent="0.2">
      <c r="E34" s="176">
        <v>29</v>
      </c>
      <c r="F34" s="223">
        <f t="shared" si="63"/>
        <v>3.1899999999999998E-2</v>
      </c>
      <c r="G34" s="223">
        <f t="shared" si="46"/>
        <v>5.7999999999999996E-2</v>
      </c>
      <c r="H34" s="223">
        <f t="shared" si="0"/>
        <v>0.76559999999999995</v>
      </c>
      <c r="I34" s="223">
        <f t="shared" si="64"/>
        <v>0.69599999999999995</v>
      </c>
      <c r="J34" s="559">
        <f t="shared" si="1"/>
        <v>12</v>
      </c>
      <c r="K34" s="454">
        <f t="shared" si="2"/>
        <v>24.25</v>
      </c>
      <c r="L34" s="454">
        <f t="shared" si="3"/>
        <v>36.25</v>
      </c>
      <c r="M34" s="454"/>
      <c r="N34" s="223">
        <f t="shared" si="4"/>
        <v>0.66896551724137931</v>
      </c>
      <c r="O34" s="178">
        <f t="shared" si="47"/>
        <v>2.8961428571428565</v>
      </c>
      <c r="P34" s="178">
        <f t="shared" si="5"/>
        <v>5.0263636363636364</v>
      </c>
      <c r="Q34" s="223">
        <f t="shared" si="6"/>
        <v>0.12067261904761901</v>
      </c>
      <c r="R34" s="223">
        <f t="shared" si="7"/>
        <v>0.24134523809523803</v>
      </c>
      <c r="S34" s="454">
        <f t="shared" si="8"/>
        <v>24</v>
      </c>
      <c r="T34" s="223">
        <f t="shared" si="9"/>
        <v>0.38330982094411287</v>
      </c>
      <c r="U34" s="223">
        <f t="shared" si="10"/>
        <v>1.5012967986977752</v>
      </c>
      <c r="V34" s="223">
        <f t="shared" si="11"/>
        <v>0.74290975605663112</v>
      </c>
      <c r="W34" s="203">
        <f t="shared" si="12"/>
        <v>350</v>
      </c>
      <c r="X34" s="454">
        <f t="shared" si="48"/>
        <v>350</v>
      </c>
      <c r="Z34" s="223">
        <f t="shared" si="13"/>
        <v>0.48799916151346817</v>
      </c>
      <c r="AA34" s="179">
        <f t="shared" si="14"/>
        <v>0.94581280788177335</v>
      </c>
      <c r="AB34" s="179">
        <f t="shared" si="15"/>
        <v>8.077227500912576E-2</v>
      </c>
      <c r="AC34" s="179"/>
      <c r="AD34" s="179">
        <f t="shared" si="16"/>
        <v>0.56206185567010303</v>
      </c>
      <c r="AE34" s="563">
        <f t="shared" si="17"/>
        <v>391.4159941305943</v>
      </c>
      <c r="AF34" s="546">
        <f t="shared" si="18"/>
        <v>2.8524639175257726E-2</v>
      </c>
      <c r="AH34" s="179">
        <f t="shared" si="19"/>
        <v>0.42154730180559147</v>
      </c>
      <c r="AI34" s="179">
        <f t="shared" si="20"/>
        <v>0.42154730180559147</v>
      </c>
      <c r="AJ34" s="179">
        <f t="shared" si="21"/>
        <v>1.2974424457819196</v>
      </c>
      <c r="AL34" s="563">
        <f t="shared" si="22"/>
        <v>31.9</v>
      </c>
      <c r="AM34" s="472">
        <f t="shared" si="23"/>
        <v>350</v>
      </c>
      <c r="AO34">
        <f t="shared" si="49"/>
        <v>31.9</v>
      </c>
      <c r="AP34" s="472">
        <f t="shared" si="24"/>
        <v>350</v>
      </c>
      <c r="AQ34" s="472"/>
      <c r="AR34" s="6">
        <f t="shared" si="50"/>
        <v>2.8571428571428572</v>
      </c>
      <c r="AS34" s="6">
        <f t="shared" si="25"/>
        <v>1.6510602654052329</v>
      </c>
      <c r="AT34" s="6">
        <f t="shared" si="51"/>
        <v>1.2060825917376243</v>
      </c>
      <c r="AU34" s="179">
        <f t="shared" si="52"/>
        <v>0.57787109289183147</v>
      </c>
      <c r="AW34" s="6">
        <f t="shared" si="26"/>
        <v>0.21945342694344552</v>
      </c>
      <c r="AX34" s="6">
        <f t="shared" si="27"/>
        <v>0.79801246161252903</v>
      </c>
      <c r="AY34" s="6">
        <f t="shared" si="28"/>
        <v>0.13499661289975509</v>
      </c>
      <c r="AZ34" s="6"/>
      <c r="BA34" s="179">
        <f t="shared" si="53"/>
        <v>0.18501254256567043</v>
      </c>
      <c r="BB34" s="179">
        <f t="shared" si="29"/>
        <v>0.15812780162443751</v>
      </c>
      <c r="BC34" s="179">
        <f t="shared" si="30"/>
        <v>0.284571368415036</v>
      </c>
      <c r="BD34" s="179"/>
      <c r="BE34" s="546">
        <f t="shared" si="31"/>
        <v>1.1980374317314904E-2</v>
      </c>
      <c r="BF34" s="546">
        <f t="shared" si="32"/>
        <v>4.0112860437438308E-2</v>
      </c>
      <c r="BG34" s="546">
        <f t="shared" si="33"/>
        <v>4.3749999999999995E-3</v>
      </c>
      <c r="BH34" s="546">
        <f t="shared" si="34"/>
        <v>2.2996093750000002E-2</v>
      </c>
      <c r="BI34">
        <f t="shared" si="35"/>
        <v>3.48E-3</v>
      </c>
      <c r="BJ34">
        <f t="shared" si="36"/>
        <v>8.329008226936184E-2</v>
      </c>
      <c r="BK34" s="472">
        <f t="shared" si="54"/>
        <v>83.290082269361847</v>
      </c>
      <c r="BL34" s="179">
        <f t="shared" si="37"/>
        <v>9.5699999999999986E-3</v>
      </c>
      <c r="BM34" s="179">
        <f t="shared" si="38"/>
        <v>1.7399999999999999E-2</v>
      </c>
      <c r="BN34" s="546"/>
      <c r="BP34" s="472">
        <f t="shared" si="55"/>
        <v>26.97</v>
      </c>
      <c r="BQ34" s="546">
        <f t="shared" si="39"/>
        <v>6.8459281813228025E-3</v>
      </c>
      <c r="BR34" s="546">
        <f t="shared" si="56"/>
        <v>5.0008803293154934E-3</v>
      </c>
      <c r="BS34" s="546">
        <f t="shared" si="40"/>
        <v>8.0980863721606157E-3</v>
      </c>
      <c r="BT34" s="546">
        <f t="shared" si="41"/>
        <v>1.3220744122347602E-2</v>
      </c>
      <c r="BU34" s="546">
        <f t="shared" si="42"/>
        <v>3.3218642391598489E-2</v>
      </c>
      <c r="BV34" s="656">
        <f t="shared" si="43"/>
        <v>1.1506212765957443E-2</v>
      </c>
      <c r="BW34" s="472">
        <f t="shared" si="57"/>
        <v>44.724855157555936</v>
      </c>
      <c r="BX34" s="179">
        <f t="shared" si="58"/>
        <v>0.15498493742691777</v>
      </c>
      <c r="BY34" s="6">
        <f t="shared" si="59"/>
        <v>1.4615999999999998</v>
      </c>
      <c r="BZ34" s="179">
        <f t="shared" si="60"/>
        <v>0.90412818167562303</v>
      </c>
      <c r="CA34" s="6">
        <f t="shared" si="61"/>
        <v>90.412818167562307</v>
      </c>
      <c r="CB34">
        <f t="shared" si="62"/>
        <v>28.999999999999996</v>
      </c>
      <c r="CD34" s="581">
        <f t="shared" si="44"/>
        <v>-50</v>
      </c>
      <c r="CE34">
        <f t="shared" si="45"/>
        <v>-50</v>
      </c>
    </row>
    <row r="35" spans="5:83" x14ac:dyDescent="0.2">
      <c r="E35" s="176">
        <v>30</v>
      </c>
      <c r="F35" s="223">
        <f t="shared" si="63"/>
        <v>3.3000000000000002E-2</v>
      </c>
      <c r="G35" s="223">
        <f t="shared" si="46"/>
        <v>0.06</v>
      </c>
      <c r="H35" s="223">
        <f t="shared" si="0"/>
        <v>0.79200000000000004</v>
      </c>
      <c r="I35" s="223">
        <f t="shared" si="64"/>
        <v>0.72</v>
      </c>
      <c r="J35" s="559">
        <f t="shared" si="1"/>
        <v>12</v>
      </c>
      <c r="K35" s="454">
        <f t="shared" si="2"/>
        <v>24.25</v>
      </c>
      <c r="L35" s="454">
        <f t="shared" si="3"/>
        <v>36.25</v>
      </c>
      <c r="M35" s="454"/>
      <c r="N35" s="223">
        <f t="shared" si="4"/>
        <v>0.66896551724137931</v>
      </c>
      <c r="O35" s="178">
        <f t="shared" si="47"/>
        <v>2.8961428571428565</v>
      </c>
      <c r="P35" s="178">
        <f t="shared" si="5"/>
        <v>5.0263636363636364</v>
      </c>
      <c r="Q35" s="223">
        <f t="shared" si="6"/>
        <v>0.12067261904761901</v>
      </c>
      <c r="R35" s="223">
        <f t="shared" si="7"/>
        <v>0.24134523809523803</v>
      </c>
      <c r="S35" s="454">
        <f t="shared" si="8"/>
        <v>24</v>
      </c>
      <c r="T35" s="223">
        <f t="shared" si="9"/>
        <v>0.3965274009766685</v>
      </c>
      <c r="U35" s="223">
        <f t="shared" si="10"/>
        <v>1.5530656538252847</v>
      </c>
      <c r="V35" s="223">
        <f t="shared" si="11"/>
        <v>0.76852733385168726</v>
      </c>
      <c r="W35" s="203">
        <f t="shared" si="12"/>
        <v>350</v>
      </c>
      <c r="X35" s="454">
        <f t="shared" si="48"/>
        <v>350</v>
      </c>
      <c r="Z35" s="223">
        <f t="shared" si="13"/>
        <v>0.48799916151346817</v>
      </c>
      <c r="AA35" s="179">
        <f t="shared" si="14"/>
        <v>0.94581280788177335</v>
      </c>
      <c r="AB35" s="179">
        <f t="shared" si="15"/>
        <v>8.077227500912576E-2</v>
      </c>
      <c r="AC35" s="179"/>
      <c r="AD35" s="179">
        <f t="shared" si="16"/>
        <v>0.56206185567010303</v>
      </c>
      <c r="AE35" s="563">
        <f t="shared" si="17"/>
        <v>404.91309737647686</v>
      </c>
      <c r="AF35" s="546">
        <f t="shared" si="18"/>
        <v>2.8524639175257726E-2</v>
      </c>
      <c r="AH35" s="179">
        <f t="shared" si="19"/>
        <v>0.42875376060629783</v>
      </c>
      <c r="AI35" s="179">
        <f t="shared" si="20"/>
        <v>0.42875376060629783</v>
      </c>
      <c r="AJ35" s="179">
        <f t="shared" si="21"/>
        <v>1.3027805634120724</v>
      </c>
      <c r="AL35" s="563">
        <f t="shared" si="22"/>
        <v>33</v>
      </c>
      <c r="AM35" s="472">
        <f t="shared" si="23"/>
        <v>350</v>
      </c>
      <c r="AO35">
        <f t="shared" si="49"/>
        <v>33</v>
      </c>
      <c r="AP35" s="472">
        <f t="shared" si="24"/>
        <v>350</v>
      </c>
      <c r="AQ35" s="472"/>
      <c r="AR35" s="6">
        <f t="shared" si="50"/>
        <v>2.8571428571428572</v>
      </c>
      <c r="AS35" s="6">
        <f t="shared" si="25"/>
        <v>1.6792855623746665</v>
      </c>
      <c r="AT35" s="6">
        <f t="shared" si="51"/>
        <v>1.1778572947681907</v>
      </c>
      <c r="AU35" s="179">
        <f t="shared" si="52"/>
        <v>0.58774994683113324</v>
      </c>
      <c r="AW35" s="6">
        <f t="shared" si="26"/>
        <v>0.23090176482651667</v>
      </c>
      <c r="AX35" s="6">
        <f t="shared" si="27"/>
        <v>0.83964278118733326</v>
      </c>
      <c r="AY35" s="6">
        <f t="shared" si="28"/>
        <v>0.1363834762363168</v>
      </c>
      <c r="AZ35" s="6"/>
      <c r="BA35" s="179">
        <f t="shared" si="53"/>
        <v>0.18977701623465631</v>
      </c>
      <c r="BB35" s="179">
        <f t="shared" si="29"/>
        <v>0.15893797486362987</v>
      </c>
      <c r="BC35" s="179">
        <f t="shared" si="30"/>
        <v>0.28602937962471425</v>
      </c>
      <c r="BD35" s="179"/>
      <c r="BE35" s="546">
        <f t="shared" si="31"/>
        <v>1.260536056182515E-2</v>
      </c>
      <c r="BF35" s="546">
        <f t="shared" si="32"/>
        <v>4.0798600032693026E-2</v>
      </c>
      <c r="BG35" s="546">
        <f t="shared" si="33"/>
        <v>4.3749999999999995E-3</v>
      </c>
      <c r="BH35" s="546">
        <f t="shared" si="34"/>
        <v>2.2996093750000002E-2</v>
      </c>
      <c r="BI35">
        <f t="shared" si="35"/>
        <v>3.48E-3</v>
      </c>
      <c r="BJ35">
        <f t="shared" si="36"/>
        <v>8.4624674395264832E-2</v>
      </c>
      <c r="BK35" s="472">
        <f t="shared" si="54"/>
        <v>84.624674395264833</v>
      </c>
      <c r="BL35" s="179">
        <f t="shared" si="37"/>
        <v>9.9000000000000008E-3</v>
      </c>
      <c r="BM35" s="179">
        <f t="shared" si="38"/>
        <v>1.7999999999999999E-2</v>
      </c>
      <c r="BN35" s="546"/>
      <c r="BP35" s="472">
        <f t="shared" si="55"/>
        <v>27.900000000000002</v>
      </c>
      <c r="BQ35" s="546">
        <f t="shared" si="39"/>
        <v>7.2030631781858012E-3</v>
      </c>
      <c r="BR35" s="546">
        <f t="shared" si="56"/>
        <v>5.0522559707503684E-3</v>
      </c>
      <c r="BS35" s="546">
        <f t="shared" si="40"/>
        <v>8.1812806008498898E-3</v>
      </c>
      <c r="BT35" s="546">
        <f t="shared" si="41"/>
        <v>1.379303921302396E-2</v>
      </c>
      <c r="BU35" s="546">
        <f t="shared" si="42"/>
        <v>3.4285693602594022E-2</v>
      </c>
      <c r="BV35" s="656">
        <f t="shared" si="43"/>
        <v>1.1902978723404256E-2</v>
      </c>
      <c r="BW35" s="472">
        <f t="shared" si="57"/>
        <v>46.188672325998276</v>
      </c>
      <c r="BX35" s="179">
        <f t="shared" si="58"/>
        <v>0.15871334672126311</v>
      </c>
      <c r="BY35" s="6">
        <f t="shared" si="59"/>
        <v>1.512</v>
      </c>
      <c r="BZ35" s="179">
        <f t="shared" si="60"/>
        <v>0.90500264630510407</v>
      </c>
      <c r="CA35" s="6">
        <f t="shared" si="61"/>
        <v>90.500264630510401</v>
      </c>
      <c r="CB35">
        <f t="shared" si="62"/>
        <v>30</v>
      </c>
      <c r="CD35" s="581">
        <f t="shared" si="44"/>
        <v>-50</v>
      </c>
      <c r="CE35">
        <f t="shared" si="45"/>
        <v>-50</v>
      </c>
    </row>
    <row r="36" spans="5:83" x14ac:dyDescent="0.2">
      <c r="E36" s="176">
        <v>31</v>
      </c>
      <c r="F36" s="223">
        <f t="shared" si="63"/>
        <v>3.4099999999999998E-2</v>
      </c>
      <c r="G36" s="223">
        <f t="shared" si="46"/>
        <v>6.2E-2</v>
      </c>
      <c r="H36" s="223">
        <f t="shared" si="0"/>
        <v>0.81840000000000002</v>
      </c>
      <c r="I36" s="223">
        <f t="shared" si="64"/>
        <v>0.74399999999999999</v>
      </c>
      <c r="J36" s="559">
        <f t="shared" si="1"/>
        <v>12</v>
      </c>
      <c r="K36" s="454">
        <f t="shared" si="2"/>
        <v>24.25</v>
      </c>
      <c r="L36" s="454">
        <f t="shared" si="3"/>
        <v>36.25</v>
      </c>
      <c r="M36" s="454"/>
      <c r="N36" s="223">
        <f t="shared" si="4"/>
        <v>0.66896551724137931</v>
      </c>
      <c r="O36" s="178">
        <f t="shared" si="47"/>
        <v>2.8961428571428565</v>
      </c>
      <c r="P36" s="178">
        <f t="shared" si="5"/>
        <v>5.0263636363636364</v>
      </c>
      <c r="Q36" s="223">
        <f t="shared" si="6"/>
        <v>0.12067261904761901</v>
      </c>
      <c r="R36" s="223">
        <f t="shared" si="7"/>
        <v>0.24134523809523803</v>
      </c>
      <c r="S36" s="454">
        <f t="shared" si="8"/>
        <v>24</v>
      </c>
      <c r="T36" s="223">
        <f t="shared" si="9"/>
        <v>0.40974498100922413</v>
      </c>
      <c r="U36" s="223">
        <f t="shared" si="10"/>
        <v>1.6048345089527942</v>
      </c>
      <c r="V36" s="223">
        <f t="shared" si="11"/>
        <v>0.7941449116467435</v>
      </c>
      <c r="W36" s="203">
        <f t="shared" si="12"/>
        <v>350</v>
      </c>
      <c r="X36" s="454">
        <f t="shared" si="48"/>
        <v>350</v>
      </c>
      <c r="Z36" s="223">
        <f t="shared" si="13"/>
        <v>0.48799916151346817</v>
      </c>
      <c r="AA36" s="179">
        <f t="shared" si="14"/>
        <v>0.94581280788177335</v>
      </c>
      <c r="AB36" s="179">
        <f t="shared" si="15"/>
        <v>8.077227500912576E-2</v>
      </c>
      <c r="AC36" s="179"/>
      <c r="AD36" s="179">
        <f t="shared" si="16"/>
        <v>0.56206185567010303</v>
      </c>
      <c r="AE36" s="563">
        <f t="shared" si="17"/>
        <v>418.41020062235947</v>
      </c>
      <c r="AF36" s="546">
        <f t="shared" si="18"/>
        <v>2.8524639175257726E-2</v>
      </c>
      <c r="AH36" s="179">
        <f t="shared" si="19"/>
        <v>0.43584107976246417</v>
      </c>
      <c r="AI36" s="179">
        <f t="shared" si="20"/>
        <v>0.43584107976246417</v>
      </c>
      <c r="AJ36" s="179">
        <f t="shared" si="21"/>
        <v>1.3080304294536771</v>
      </c>
      <c r="AL36" s="563">
        <f t="shared" si="22"/>
        <v>34.1</v>
      </c>
      <c r="AM36" s="472">
        <f t="shared" si="23"/>
        <v>350</v>
      </c>
      <c r="AO36">
        <f t="shared" si="49"/>
        <v>34.1</v>
      </c>
      <c r="AP36" s="472">
        <f t="shared" si="24"/>
        <v>350</v>
      </c>
      <c r="AQ36" s="472"/>
      <c r="AR36" s="6">
        <f t="shared" si="50"/>
        <v>2.8571428571428572</v>
      </c>
      <c r="AS36" s="6">
        <f t="shared" si="25"/>
        <v>1.707044229069651</v>
      </c>
      <c r="AT36" s="6">
        <f t="shared" si="51"/>
        <v>1.1500986280732062</v>
      </c>
      <c r="AU36" s="179">
        <f t="shared" si="52"/>
        <v>0.59746548017437784</v>
      </c>
      <c r="AW36" s="6">
        <f t="shared" si="26"/>
        <v>0.24254253421364622</v>
      </c>
      <c r="AX36" s="6">
        <f t="shared" si="27"/>
        <v>0.88197285168598638</v>
      </c>
      <c r="AY36" s="6">
        <f t="shared" si="28"/>
        <v>0.13760829199051341</v>
      </c>
      <c r="AZ36" s="6"/>
      <c r="BA36" s="179">
        <f t="shared" si="53"/>
        <v>0.19450194272392729</v>
      </c>
      <c r="BB36" s="179">
        <f t="shared" si="29"/>
        <v>0.1596500648693521</v>
      </c>
      <c r="BC36" s="179">
        <f t="shared" si="30"/>
        <v>0.28731087740866706</v>
      </c>
      <c r="BD36" s="179"/>
      <c r="BE36" s="546">
        <f t="shared" si="31"/>
        <v>1.3240852003183661E-2</v>
      </c>
      <c r="BF36" s="546">
        <f t="shared" si="32"/>
        <v>4.1473002746146979E-2</v>
      </c>
      <c r="BG36" s="546">
        <f t="shared" si="33"/>
        <v>4.3749999999999995E-3</v>
      </c>
      <c r="BH36" s="546">
        <f t="shared" si="34"/>
        <v>2.2996093750000002E-2</v>
      </c>
      <c r="BI36">
        <f t="shared" si="35"/>
        <v>3.48E-3</v>
      </c>
      <c r="BJ36">
        <f t="shared" si="36"/>
        <v>8.5959326037856609E-2</v>
      </c>
      <c r="BK36" s="472">
        <f t="shared" si="54"/>
        <v>85.959326037856613</v>
      </c>
      <c r="BL36" s="179">
        <f t="shared" si="37"/>
        <v>1.023E-2</v>
      </c>
      <c r="BM36" s="179">
        <f t="shared" si="38"/>
        <v>1.8599999999999998E-2</v>
      </c>
      <c r="BN36" s="546"/>
      <c r="BP36" s="472">
        <f t="shared" si="55"/>
        <v>28.83</v>
      </c>
      <c r="BQ36" s="546">
        <f t="shared" si="39"/>
        <v>7.5662011446763783E-3</v>
      </c>
      <c r="BR36" s="546">
        <f t="shared" si="56"/>
        <v>5.0976286425576667E-3</v>
      </c>
      <c r="BS36" s="546">
        <f t="shared" si="40"/>
        <v>8.2547540277338113E-3</v>
      </c>
      <c r="BT36" s="546">
        <f t="shared" si="41"/>
        <v>1.4370124135676357E-2</v>
      </c>
      <c r="BU36" s="546">
        <f t="shared" si="42"/>
        <v>3.5347862127972522E-2</v>
      </c>
      <c r="BV36" s="656">
        <f t="shared" si="43"/>
        <v>1.2299744680851066E-2</v>
      </c>
      <c r="BW36" s="472">
        <f t="shared" si="57"/>
        <v>47.647606808823589</v>
      </c>
      <c r="BX36" s="179">
        <f t="shared" si="58"/>
        <v>0.1624369328466802</v>
      </c>
      <c r="BY36" s="6">
        <f t="shared" si="59"/>
        <v>1.5624</v>
      </c>
      <c r="BZ36" s="179">
        <f t="shared" si="60"/>
        <v>0.90582475957388431</v>
      </c>
      <c r="CA36" s="6">
        <f t="shared" si="61"/>
        <v>90.582475957388425</v>
      </c>
      <c r="CB36">
        <f t="shared" si="62"/>
        <v>31</v>
      </c>
      <c r="CD36" s="581">
        <f t="shared" si="44"/>
        <v>-50</v>
      </c>
      <c r="CE36">
        <f t="shared" si="45"/>
        <v>-50</v>
      </c>
    </row>
    <row r="37" spans="5:83" x14ac:dyDescent="0.2">
      <c r="E37" s="176">
        <v>32</v>
      </c>
      <c r="F37" s="223">
        <f t="shared" si="63"/>
        <v>3.5200000000000002E-2</v>
      </c>
      <c r="G37" s="223">
        <f t="shared" si="46"/>
        <v>6.4000000000000001E-2</v>
      </c>
      <c r="H37" s="223">
        <f t="shared" ref="H37:H68" si="65">F37*Vout</f>
        <v>0.8448</v>
      </c>
      <c r="I37" s="223">
        <f t="shared" si="64"/>
        <v>0.76800000000000002</v>
      </c>
      <c r="J37" s="559">
        <f t="shared" si="1"/>
        <v>12</v>
      </c>
      <c r="K37" s="454">
        <f t="shared" si="2"/>
        <v>24.25</v>
      </c>
      <c r="L37" s="454">
        <f t="shared" si="3"/>
        <v>36.25</v>
      </c>
      <c r="M37" s="454"/>
      <c r="N37" s="223">
        <f t="shared" si="4"/>
        <v>0.66896551724137931</v>
      </c>
      <c r="O37" s="178">
        <f t="shared" si="47"/>
        <v>2.8961428571428565</v>
      </c>
      <c r="P37" s="178">
        <f t="shared" ref="P37:P68" si="66">N37*J37*Isw_max*0.5*Efficiency*(Pout2/Pout_total)</f>
        <v>5.0263636363636364</v>
      </c>
      <c r="Q37" s="223">
        <f t="shared" si="6"/>
        <v>0.12067261904761901</v>
      </c>
      <c r="R37" s="223">
        <f t="shared" ref="R37:R68" si="67">O37/Vout2</f>
        <v>0.24134523809523803</v>
      </c>
      <c r="S37" s="454">
        <f t="shared" ref="S37:S68" si="68">MIN(Vout,O37/F37)</f>
        <v>24</v>
      </c>
      <c r="T37" s="223">
        <f t="shared" ref="T37:T68" si="69">MIN(2*(Vout*F37+Vout2*G37)/(Efficiency*J37*N37), Isw_max)</f>
        <v>0.42296256104177976</v>
      </c>
      <c r="U37" s="223">
        <f t="shared" si="10"/>
        <v>1.6566033640803042</v>
      </c>
      <c r="V37" s="223">
        <f t="shared" si="11"/>
        <v>0.81976248944179997</v>
      </c>
      <c r="W37" s="203">
        <f t="shared" si="12"/>
        <v>350</v>
      </c>
      <c r="X37" s="454">
        <f t="shared" si="48"/>
        <v>350</v>
      </c>
      <c r="Z37" s="223">
        <f t="shared" si="13"/>
        <v>0.48799916151346817</v>
      </c>
      <c r="AA37" s="179">
        <f t="shared" si="14"/>
        <v>0.94581280788177335</v>
      </c>
      <c r="AB37" s="179">
        <f t="shared" ref="AB37:AB68" si="70">0.5*AA37*Z37*Nps*W37/1000*(Pout/Pout_total)</f>
        <v>8.077227500912576E-2</v>
      </c>
      <c r="AC37" s="179"/>
      <c r="AD37" s="179">
        <f t="shared" si="16"/>
        <v>0.56206185567010303</v>
      </c>
      <c r="AE37" s="563">
        <f t="shared" ref="AE37:AE68" si="71">MAX(10, F37/(0.5*AD37/1000000*Isw_min*Nps)/1000*Pout_total/Pout)</f>
        <v>431.90730386824202</v>
      </c>
      <c r="AF37" s="546">
        <f t="shared" ref="AF37:AF68" si="72">0.5*AD37/1000000*Isw_min*Nps*W37*1000*(Pout/Pout_total)</f>
        <v>2.8524639175257726E-2</v>
      </c>
      <c r="AH37" s="179">
        <f t="shared" ref="AH37:AH68" si="73">SQRT((H37+I37)/(0.5*L*Fsw_DCM))</f>
        <v>0.44281497985386487</v>
      </c>
      <c r="AI37" s="179">
        <f t="shared" ref="AI37:AI68" si="74">MAX(IF(F37&gt;AB37,T37,AH37),Isw_min)</f>
        <v>0.44281497985386487</v>
      </c>
      <c r="AJ37" s="179">
        <f t="shared" ref="AJ37:AJ68" si="75">IF(F37&gt;AF37, (AI37-Isw_min)/1.08*0.8+1.2, AE37*0.2/350+1)</f>
        <v>1.3131962813732332</v>
      </c>
      <c r="AL37" s="563">
        <f t="shared" ref="AL37:AL68" si="76">F37*1000</f>
        <v>35.200000000000003</v>
      </c>
      <c r="AM37" s="472">
        <f t="shared" ref="AM37:AM68" si="77">IF(F37&gt;AF37, X37, AE37)</f>
        <v>350</v>
      </c>
      <c r="AO37">
        <f t="shared" si="49"/>
        <v>35.200000000000003</v>
      </c>
      <c r="AP37" s="472">
        <f t="shared" si="24"/>
        <v>350</v>
      </c>
      <c r="AQ37" s="472"/>
      <c r="AR37" s="6">
        <f t="shared" si="50"/>
        <v>2.8571428571428572</v>
      </c>
      <c r="AS37" s="6">
        <f t="shared" si="25"/>
        <v>1.734358671094304</v>
      </c>
      <c r="AT37" s="6">
        <f t="shared" si="51"/>
        <v>1.1227841860485532</v>
      </c>
      <c r="AU37" s="179">
        <f t="shared" si="52"/>
        <v>0.60702553488300637</v>
      </c>
      <c r="AW37" s="6">
        <f t="shared" ref="AW37:AW68" si="78">F37*AS37/Vout_ripple*1000</f>
        <v>0.25437260509383125</v>
      </c>
      <c r="AX37" s="6">
        <f t="shared" ref="AX37:AX68" si="79">G37*AS37/Vout_ripple2*1000</f>
        <v>0.92499129125029533</v>
      </c>
      <c r="AY37" s="6">
        <f t="shared" si="28"/>
        <v>0.13867369596108445</v>
      </c>
      <c r="AZ37" s="6"/>
      <c r="BA37" s="179">
        <f t="shared" si="53"/>
        <v>0.19918891082313367</v>
      </c>
      <c r="BB37" s="179">
        <f t="shared" ref="BB37:BB68" si="80">AI37*Npri_sec1*SQRT((1-AU37)/3)*(Pout/Pout_total)</f>
        <v>0.16026690217494469</v>
      </c>
      <c r="BC37" s="179">
        <f t="shared" ref="BC37:BC68" si="81">AI37*Npri_sec2*SQRT((1-AU37)/3)*(Pout2/Pout_total)</f>
        <v>0.28842095567661657</v>
      </c>
      <c r="BD37" s="179"/>
      <c r="BE37" s="546">
        <f t="shared" si="31"/>
        <v>1.3886677768217203E-2</v>
      </c>
      <c r="BF37" s="546">
        <f t="shared" si="32"/>
        <v>4.213661292671933E-2</v>
      </c>
      <c r="BG37" s="546">
        <f t="shared" si="33"/>
        <v>4.3749999999999995E-3</v>
      </c>
      <c r="BH37" s="546">
        <f t="shared" si="34"/>
        <v>2.2996093750000002E-2</v>
      </c>
      <c r="BI37">
        <f t="shared" si="35"/>
        <v>3.48E-3</v>
      </c>
      <c r="BJ37">
        <f t="shared" ref="BJ37:BJ68" si="82">(BF37+BG37+BH37+BI37+BE37*(1+RdsonTC*(Ta-25)))/(1-BE37*RdsonTC*ThetaJA)</f>
        <v>8.7294421969755384E-2</v>
      </c>
      <c r="BK37" s="472">
        <f t="shared" si="54"/>
        <v>87.29442196975539</v>
      </c>
      <c r="BL37" s="179">
        <f t="shared" ref="BL37:BL68" si="83">Vfwd2*F37*(1+Diode_TC/1000*(Ta-25))</f>
        <v>1.056E-2</v>
      </c>
      <c r="BM37" s="179">
        <f t="shared" ref="BM37:BM68" si="84">Vfwd2*G37*(1+Diode_TC/1000*(Ta-25))</f>
        <v>1.9199999999999998E-2</v>
      </c>
      <c r="BN37" s="546"/>
      <c r="BP37" s="472">
        <f t="shared" si="55"/>
        <v>29.759999999999998</v>
      </c>
      <c r="BQ37" s="546">
        <f t="shared" si="39"/>
        <v>7.9352444389812603E-3</v>
      </c>
      <c r="BR37" s="546">
        <f t="shared" si="56"/>
        <v>5.1370959865506584E-3</v>
      </c>
      <c r="BS37" s="546">
        <f t="shared" ref="BS37:BS68" si="85">Rdcr_sec2*BC37^2</f>
        <v>8.3186647673412824E-3</v>
      </c>
      <c r="BT37" s="546">
        <f t="shared" si="41"/>
        <v>1.495188249753222E-2</v>
      </c>
      <c r="BU37" s="546">
        <f t="shared" ref="BU37:BU68" si="86">(BT37+(BQ37+BR37+BS37)*(1+Ltc*(Ta-25)))/(1-(BQ37+BR37+BS37)*Ltc*ThetaCa)</f>
        <v>3.6405187174236749E-2</v>
      </c>
      <c r="BV37" s="656">
        <f t="shared" ref="BV37:BV68" si="87">0.5*Lleak*0.000000001*AI37^2*AM37*1000</f>
        <v>1.2696510638297874E-2</v>
      </c>
      <c r="BW37" s="472">
        <f t="shared" si="57"/>
        <v>49.101697812534624</v>
      </c>
      <c r="BX37" s="179">
        <f t="shared" si="58"/>
        <v>0.16615611978229</v>
      </c>
      <c r="BY37" s="6">
        <f t="shared" si="59"/>
        <v>1.6128</v>
      </c>
      <c r="BZ37" s="179">
        <f t="shared" si="60"/>
        <v>0.90659909036844355</v>
      </c>
      <c r="CA37" s="6">
        <f t="shared" si="61"/>
        <v>90.659909036844354</v>
      </c>
      <c r="CB37">
        <f t="shared" si="62"/>
        <v>32</v>
      </c>
      <c r="CD37" s="581">
        <f t="shared" ref="CD37:CD68" si="88">IF(ABS(F37-Ioutmax_Vinnom)&lt;Iout/200, AM37, -50)</f>
        <v>-50</v>
      </c>
      <c r="CE37">
        <f t="shared" ref="CE37:CE68" si="89">IF(ABS(F37-Ioutmax_Vinnom)&lt;Iout/200, (O37+P37)*BZ37, -50)</f>
        <v>-50</v>
      </c>
    </row>
    <row r="38" spans="5:83" x14ac:dyDescent="0.2">
      <c r="E38" s="176">
        <v>33</v>
      </c>
      <c r="F38" s="223">
        <f t="shared" si="63"/>
        <v>3.6299999999999999E-2</v>
      </c>
      <c r="G38" s="223">
        <f t="shared" ref="G38:G69" si="90">IF(PLOT_TYPE=1, E38/100*Iout2, min_I*EXP(Q38*rr/100))</f>
        <v>6.6000000000000003E-2</v>
      </c>
      <c r="H38" s="223">
        <f t="shared" si="65"/>
        <v>0.87119999999999997</v>
      </c>
      <c r="I38" s="223">
        <f t="shared" si="64"/>
        <v>0.79200000000000004</v>
      </c>
      <c r="J38" s="559">
        <f t="shared" si="1"/>
        <v>12</v>
      </c>
      <c r="K38" s="454">
        <f t="shared" si="2"/>
        <v>24.25</v>
      </c>
      <c r="L38" s="454">
        <f t="shared" si="3"/>
        <v>36.25</v>
      </c>
      <c r="M38" s="454"/>
      <c r="N38" s="223">
        <f t="shared" si="4"/>
        <v>0.66896551724137931</v>
      </c>
      <c r="O38" s="178">
        <f t="shared" ref="O38:O69" si="91">N38*J38*Isw_max*0.5*Efficiency*Pout/(Pout+Pout2)</f>
        <v>2.8961428571428565</v>
      </c>
      <c r="P38" s="178">
        <f t="shared" si="66"/>
        <v>5.0263636363636364</v>
      </c>
      <c r="Q38" s="223">
        <f t="shared" si="6"/>
        <v>0.12067261904761901</v>
      </c>
      <c r="R38" s="223">
        <f t="shared" si="67"/>
        <v>0.24134523809523803</v>
      </c>
      <c r="S38" s="454">
        <f t="shared" si="68"/>
        <v>24</v>
      </c>
      <c r="T38" s="223">
        <f t="shared" si="69"/>
        <v>0.43618014107433539</v>
      </c>
      <c r="U38" s="223">
        <f t="shared" si="10"/>
        <v>1.7083722192078135</v>
      </c>
      <c r="V38" s="223">
        <f t="shared" si="11"/>
        <v>0.84538006723685621</v>
      </c>
      <c r="W38" s="203">
        <f t="shared" si="12"/>
        <v>350</v>
      </c>
      <c r="X38" s="454">
        <f t="shared" si="48"/>
        <v>350</v>
      </c>
      <c r="Z38" s="223">
        <f t="shared" si="13"/>
        <v>0.48799916151346817</v>
      </c>
      <c r="AA38" s="179">
        <f t="shared" si="14"/>
        <v>0.94581280788177335</v>
      </c>
      <c r="AB38" s="179">
        <f t="shared" si="70"/>
        <v>8.077227500912576E-2</v>
      </c>
      <c r="AC38" s="179"/>
      <c r="AD38" s="179">
        <f t="shared" si="16"/>
        <v>0.56206185567010303</v>
      </c>
      <c r="AE38" s="563">
        <f t="shared" si="71"/>
        <v>445.40440711412464</v>
      </c>
      <c r="AF38" s="546">
        <f t="shared" si="72"/>
        <v>2.8524639175257726E-2</v>
      </c>
      <c r="AH38" s="179">
        <f t="shared" si="73"/>
        <v>0.44968073781011214</v>
      </c>
      <c r="AI38" s="179">
        <f t="shared" si="74"/>
        <v>0.44968073781011214</v>
      </c>
      <c r="AJ38" s="179">
        <f t="shared" si="75"/>
        <v>1.3182820280074905</v>
      </c>
      <c r="AL38" s="563">
        <f t="shared" si="76"/>
        <v>36.299999999999997</v>
      </c>
      <c r="AM38" s="472">
        <f t="shared" si="77"/>
        <v>350</v>
      </c>
      <c r="AO38">
        <f t="shared" si="49"/>
        <v>36.299999999999997</v>
      </c>
      <c r="AP38" s="472">
        <f t="shared" si="24"/>
        <v>350</v>
      </c>
      <c r="AQ38" s="472"/>
      <c r="AR38" s="6">
        <f t="shared" si="50"/>
        <v>2.8571428571428572</v>
      </c>
      <c r="AS38" s="6">
        <f t="shared" si="25"/>
        <v>1.7612495564229389</v>
      </c>
      <c r="AT38" s="6">
        <f t="shared" si="51"/>
        <v>1.0958933007199183</v>
      </c>
      <c r="AU38" s="179">
        <f t="shared" si="52"/>
        <v>0.61643734474802858</v>
      </c>
      <c r="AW38" s="6">
        <f t="shared" si="78"/>
        <v>0.26638899540896954</v>
      </c>
      <c r="AX38" s="6">
        <f t="shared" si="79"/>
        <v>0.96868725603261641</v>
      </c>
      <c r="AY38" s="6">
        <f t="shared" si="28"/>
        <v>0.13958219935485275</v>
      </c>
      <c r="AZ38" s="6"/>
      <c r="BA38" s="179">
        <f t="shared" si="53"/>
        <v>0.20383939799178752</v>
      </c>
      <c r="BB38" s="179">
        <f t="shared" si="80"/>
        <v>0.16079102943104315</v>
      </c>
      <c r="BC38" s="179">
        <f t="shared" si="81"/>
        <v>0.28936419025623722</v>
      </c>
      <c r="BD38" s="179"/>
      <c r="BE38" s="546">
        <f t="shared" si="31"/>
        <v>1.4542675060779022E-2</v>
      </c>
      <c r="BF38" s="546">
        <f t="shared" si="32"/>
        <v>4.2789932707243482E-2</v>
      </c>
      <c r="BG38" s="546">
        <f t="shared" si="33"/>
        <v>4.3749999999999995E-3</v>
      </c>
      <c r="BH38" s="546">
        <f t="shared" si="34"/>
        <v>2.2996093750000002E-2</v>
      </c>
      <c r="BI38">
        <f t="shared" si="35"/>
        <v>3.48E-3</v>
      </c>
      <c r="BJ38">
        <f t="shared" si="82"/>
        <v>8.8630312936124847E-2</v>
      </c>
      <c r="BK38" s="472">
        <f t="shared" si="54"/>
        <v>88.630312936124852</v>
      </c>
      <c r="BL38" s="179">
        <f t="shared" si="83"/>
        <v>1.0889999999999999E-2</v>
      </c>
      <c r="BM38" s="179">
        <f t="shared" si="84"/>
        <v>1.9800000000000002E-2</v>
      </c>
      <c r="BN38" s="546"/>
      <c r="BP38" s="472">
        <f t="shared" si="55"/>
        <v>30.69</v>
      </c>
      <c r="BQ38" s="546">
        <f t="shared" si="39"/>
        <v>8.31010003473087E-3</v>
      </c>
      <c r="BR38" s="546">
        <f t="shared" si="56"/>
        <v>5.1707510290989172E-3</v>
      </c>
      <c r="BS38" s="546">
        <f t="shared" si="85"/>
        <v>8.3731634602647858E-3</v>
      </c>
      <c r="BT38" s="546">
        <f t="shared" si="41"/>
        <v>1.5538204299350019E-2</v>
      </c>
      <c r="BU38" s="546">
        <f t="shared" si="86"/>
        <v>3.7457706925139091E-2</v>
      </c>
      <c r="BV38" s="656">
        <f t="shared" si="87"/>
        <v>1.3093276595744684E-2</v>
      </c>
      <c r="BW38" s="472">
        <f t="shared" si="57"/>
        <v>50.550983520883776</v>
      </c>
      <c r="BX38" s="179">
        <f t="shared" si="58"/>
        <v>0.16987129645700863</v>
      </c>
      <c r="BY38" s="6">
        <f t="shared" si="59"/>
        <v>1.6632</v>
      </c>
      <c r="BZ38" s="179">
        <f t="shared" si="60"/>
        <v>0.9073296839106374</v>
      </c>
      <c r="CA38" s="6">
        <f t="shared" si="61"/>
        <v>90.732968391063736</v>
      </c>
      <c r="CB38">
        <f t="shared" ref="CB38:CB69" si="92">F38/Iout*100</f>
        <v>33</v>
      </c>
      <c r="CD38" s="581">
        <f t="shared" si="88"/>
        <v>-50</v>
      </c>
      <c r="CE38">
        <f t="shared" si="89"/>
        <v>-50</v>
      </c>
    </row>
    <row r="39" spans="5:83" x14ac:dyDescent="0.2">
      <c r="E39" s="176">
        <v>34</v>
      </c>
      <c r="F39" s="223">
        <f t="shared" si="63"/>
        <v>3.7400000000000003E-2</v>
      </c>
      <c r="G39" s="223">
        <f t="shared" si="90"/>
        <v>6.8000000000000005E-2</v>
      </c>
      <c r="H39" s="223">
        <f t="shared" si="65"/>
        <v>0.89760000000000006</v>
      </c>
      <c r="I39" s="223">
        <f t="shared" si="64"/>
        <v>0.81600000000000006</v>
      </c>
      <c r="J39" s="559">
        <f t="shared" si="1"/>
        <v>12</v>
      </c>
      <c r="K39" s="454">
        <f t="shared" si="2"/>
        <v>24.25</v>
      </c>
      <c r="L39" s="454">
        <f t="shared" si="3"/>
        <v>36.25</v>
      </c>
      <c r="M39" s="454"/>
      <c r="N39" s="223">
        <f t="shared" si="4"/>
        <v>0.66896551724137931</v>
      </c>
      <c r="O39" s="178">
        <f t="shared" si="91"/>
        <v>2.8961428571428565</v>
      </c>
      <c r="P39" s="178">
        <f t="shared" si="66"/>
        <v>5.0263636363636364</v>
      </c>
      <c r="Q39" s="223">
        <f t="shared" si="6"/>
        <v>0.12067261904761901</v>
      </c>
      <c r="R39" s="223">
        <f t="shared" si="67"/>
        <v>0.24134523809523803</v>
      </c>
      <c r="S39" s="454">
        <f t="shared" si="68"/>
        <v>24</v>
      </c>
      <c r="T39" s="223">
        <f t="shared" si="69"/>
        <v>0.44939772110689097</v>
      </c>
      <c r="U39" s="223">
        <f t="shared" si="10"/>
        <v>1.7601410743353227</v>
      </c>
      <c r="V39" s="223">
        <f t="shared" si="11"/>
        <v>0.87099764503191235</v>
      </c>
      <c r="W39" s="203">
        <f t="shared" si="12"/>
        <v>350</v>
      </c>
      <c r="X39" s="454">
        <f t="shared" si="48"/>
        <v>350</v>
      </c>
      <c r="Z39" s="223">
        <f t="shared" si="13"/>
        <v>0.48799916151346817</v>
      </c>
      <c r="AA39" s="179">
        <f t="shared" si="14"/>
        <v>0.94581280788177335</v>
      </c>
      <c r="AB39" s="179">
        <f t="shared" si="70"/>
        <v>8.077227500912576E-2</v>
      </c>
      <c r="AC39" s="179"/>
      <c r="AD39" s="179">
        <f t="shared" si="16"/>
        <v>0.56206185567010303</v>
      </c>
      <c r="AE39" s="563">
        <f t="shared" si="71"/>
        <v>458.90151036000725</v>
      </c>
      <c r="AF39" s="546">
        <f t="shared" si="72"/>
        <v>2.8524639175257726E-2</v>
      </c>
      <c r="AH39" s="179">
        <f t="shared" si="73"/>
        <v>0.4564432336358103</v>
      </c>
      <c r="AI39" s="179">
        <f t="shared" si="74"/>
        <v>0.4564432336358103</v>
      </c>
      <c r="AJ39" s="179">
        <f t="shared" si="75"/>
        <v>1.3232912841746742</v>
      </c>
      <c r="AL39" s="563">
        <f t="shared" si="76"/>
        <v>37.400000000000006</v>
      </c>
      <c r="AM39" s="472">
        <f t="shared" si="77"/>
        <v>350</v>
      </c>
      <c r="AO39">
        <f t="shared" si="49"/>
        <v>37.400000000000006</v>
      </c>
      <c r="AP39" s="472">
        <f t="shared" si="24"/>
        <v>350</v>
      </c>
      <c r="AQ39" s="472"/>
      <c r="AR39" s="6">
        <f t="shared" si="50"/>
        <v>2.8571428571428572</v>
      </c>
      <c r="AS39" s="6">
        <f t="shared" si="25"/>
        <v>1.7877359984069234</v>
      </c>
      <c r="AT39" s="6">
        <f t="shared" si="51"/>
        <v>1.0694068587359338</v>
      </c>
      <c r="AU39" s="179">
        <f t="shared" si="52"/>
        <v>0.62570759944242316</v>
      </c>
      <c r="AW39" s="6">
        <f t="shared" si="78"/>
        <v>0.27858885975174558</v>
      </c>
      <c r="AX39" s="6">
        <f t="shared" si="79"/>
        <v>1.0130503990972568</v>
      </c>
      <c r="AY39" s="6">
        <f t="shared" si="28"/>
        <v>0.14033619830429447</v>
      </c>
      <c r="AZ39" s="6"/>
      <c r="BA39" s="179">
        <f t="shared" si="53"/>
        <v>0.2084547812887225</v>
      </c>
      <c r="BB39" s="179">
        <f t="shared" si="80"/>
        <v>0.16122472722417355</v>
      </c>
      <c r="BC39" s="179">
        <f t="shared" si="81"/>
        <v>0.29014468535704702</v>
      </c>
      <c r="BD39" s="179"/>
      <c r="BE39" s="546">
        <f t="shared" si="31"/>
        <v>1.5208688544745195E-2</v>
      </c>
      <c r="BF39" s="546">
        <f t="shared" si="32"/>
        <v>4.3433426450657571E-2</v>
      </c>
      <c r="BG39" s="546">
        <f t="shared" si="33"/>
        <v>4.3749999999999995E-3</v>
      </c>
      <c r="BH39" s="546">
        <f t="shared" si="34"/>
        <v>2.2996093750000002E-2</v>
      </c>
      <c r="BI39">
        <f t="shared" si="35"/>
        <v>3.48E-3</v>
      </c>
      <c r="BJ39">
        <f t="shared" si="82"/>
        <v>8.9967319477507426E-2</v>
      </c>
      <c r="BK39" s="472">
        <f t="shared" si="54"/>
        <v>89.967319477507431</v>
      </c>
      <c r="BL39" s="179">
        <f t="shared" si="83"/>
        <v>1.1220000000000001E-2</v>
      </c>
      <c r="BM39" s="179">
        <f t="shared" si="84"/>
        <v>2.0400000000000001E-2</v>
      </c>
      <c r="BN39" s="546"/>
      <c r="BP39" s="472">
        <f t="shared" si="55"/>
        <v>31.62</v>
      </c>
      <c r="BQ39" s="546">
        <f t="shared" si="39"/>
        <v>8.6906791684258269E-3</v>
      </c>
      <c r="BR39" s="546">
        <f t="shared" si="56"/>
        <v>5.1986825337018341E-3</v>
      </c>
      <c r="BS39" s="546">
        <f t="shared" si="85"/>
        <v>8.4183938440939819E-3</v>
      </c>
      <c r="BT39" s="546">
        <f t="shared" si="41"/>
        <v>1.6128985400235211E-2</v>
      </c>
      <c r="BU39" s="546">
        <f t="shared" si="86"/>
        <v>3.8505458575023799E-2</v>
      </c>
      <c r="BV39" s="656">
        <f t="shared" si="87"/>
        <v>1.349004255319149E-2</v>
      </c>
      <c r="BW39" s="472">
        <f t="shared" si="57"/>
        <v>51.995501128215288</v>
      </c>
      <c r="BX39" s="179">
        <f t="shared" si="58"/>
        <v>0.17358282060572272</v>
      </c>
      <c r="BY39" s="6">
        <f t="shared" si="59"/>
        <v>1.7136</v>
      </c>
      <c r="BZ39" s="179">
        <f t="shared" si="60"/>
        <v>0.90802013524582192</v>
      </c>
      <c r="CA39" s="6">
        <f t="shared" si="61"/>
        <v>90.802013524582193</v>
      </c>
      <c r="CB39">
        <f t="shared" si="92"/>
        <v>34</v>
      </c>
      <c r="CD39" s="581">
        <f t="shared" si="88"/>
        <v>-50</v>
      </c>
      <c r="CE39">
        <f t="shared" si="89"/>
        <v>-50</v>
      </c>
    </row>
    <row r="40" spans="5:83" x14ac:dyDescent="0.2">
      <c r="E40" s="176">
        <v>35</v>
      </c>
      <c r="F40" s="223">
        <f t="shared" ref="F40:F71" si="93">IF(PLOT_TYPE=1, E40/100*Iout_max, min_I*EXP(O40*rr/100))</f>
        <v>3.85E-2</v>
      </c>
      <c r="G40" s="223">
        <f t="shared" si="90"/>
        <v>6.9999999999999993E-2</v>
      </c>
      <c r="H40" s="223">
        <f t="shared" si="65"/>
        <v>0.92399999999999993</v>
      </c>
      <c r="I40" s="223">
        <f t="shared" ref="I40:I71" si="94">Vout2*G40</f>
        <v>0.83999999999999986</v>
      </c>
      <c r="J40" s="559">
        <f t="shared" si="1"/>
        <v>12</v>
      </c>
      <c r="K40" s="454">
        <f t="shared" si="2"/>
        <v>24.25</v>
      </c>
      <c r="L40" s="454">
        <f t="shared" si="3"/>
        <v>36.25</v>
      </c>
      <c r="M40" s="454"/>
      <c r="N40" s="223">
        <f t="shared" si="4"/>
        <v>0.66896551724137931</v>
      </c>
      <c r="O40" s="178">
        <f t="shared" si="91"/>
        <v>2.8961428571428565</v>
      </c>
      <c r="P40" s="178">
        <f t="shared" si="66"/>
        <v>5.0263636363636364</v>
      </c>
      <c r="Q40" s="223">
        <f t="shared" si="6"/>
        <v>0.12067261904761901</v>
      </c>
      <c r="R40" s="223">
        <f t="shared" si="67"/>
        <v>0.24134523809523803</v>
      </c>
      <c r="S40" s="454">
        <f t="shared" si="68"/>
        <v>24</v>
      </c>
      <c r="T40" s="223">
        <f t="shared" si="69"/>
        <v>0.46261530113944654</v>
      </c>
      <c r="U40" s="223">
        <f t="shared" si="10"/>
        <v>1.811909929462832</v>
      </c>
      <c r="V40" s="223">
        <f t="shared" si="11"/>
        <v>0.89661522282696848</v>
      </c>
      <c r="W40" s="203">
        <f t="shared" si="12"/>
        <v>350</v>
      </c>
      <c r="X40" s="454">
        <f t="shared" si="48"/>
        <v>350</v>
      </c>
      <c r="Z40" s="223">
        <f t="shared" si="13"/>
        <v>0.48799916151346817</v>
      </c>
      <c r="AA40" s="179">
        <f t="shared" si="14"/>
        <v>0.94581280788177335</v>
      </c>
      <c r="AB40" s="179">
        <f t="shared" si="70"/>
        <v>8.077227500912576E-2</v>
      </c>
      <c r="AC40" s="179"/>
      <c r="AD40" s="179">
        <f t="shared" si="16"/>
        <v>0.56206185567010303</v>
      </c>
      <c r="AE40" s="563">
        <f t="shared" si="71"/>
        <v>472.39861360588975</v>
      </c>
      <c r="AF40" s="546">
        <f t="shared" si="72"/>
        <v>2.8524639175257726E-2</v>
      </c>
      <c r="AH40" s="179">
        <f t="shared" si="73"/>
        <v>0.46310699099277586</v>
      </c>
      <c r="AI40" s="179">
        <f t="shared" si="74"/>
        <v>0.46310699099277586</v>
      </c>
      <c r="AJ40" s="179">
        <f t="shared" si="75"/>
        <v>1.3282274007353896</v>
      </c>
      <c r="AL40" s="563">
        <f t="shared" si="76"/>
        <v>38.5</v>
      </c>
      <c r="AM40" s="472">
        <f t="shared" si="77"/>
        <v>350</v>
      </c>
      <c r="AO40">
        <f t="shared" si="49"/>
        <v>38.5</v>
      </c>
      <c r="AP40" s="472">
        <f t="shared" si="24"/>
        <v>350</v>
      </c>
      <c r="AQ40" s="472"/>
      <c r="AR40" s="6">
        <f t="shared" si="50"/>
        <v>2.8571428571428572</v>
      </c>
      <c r="AS40" s="6">
        <f t="shared" si="25"/>
        <v>1.8138357147217055</v>
      </c>
      <c r="AT40" s="6">
        <f t="shared" si="51"/>
        <v>1.0433071424211517</v>
      </c>
      <c r="AU40" s="179">
        <f t="shared" si="52"/>
        <v>0.63484250015259691</v>
      </c>
      <c r="AW40" s="6">
        <f t="shared" si="78"/>
        <v>0.29096947923660693</v>
      </c>
      <c r="AX40" s="6">
        <f t="shared" si="79"/>
        <v>1.0580708335876614</v>
      </c>
      <c r="AY40" s="6">
        <f t="shared" si="28"/>
        <v>0.14093798239724328</v>
      </c>
      <c r="AZ40" s="6"/>
      <c r="BA40" s="179">
        <f t="shared" si="53"/>
        <v>0.21303634693941789</v>
      </c>
      <c r="BB40" s="179">
        <f t="shared" si="80"/>
        <v>0.16157003616028445</v>
      </c>
      <c r="BC40" s="179">
        <f t="shared" si="81"/>
        <v>0.29076611331257129</v>
      </c>
      <c r="BD40" s="179"/>
      <c r="BE40" s="546">
        <f t="shared" si="31"/>
        <v>1.5884569791052208E-2</v>
      </c>
      <c r="BF40" s="546">
        <f t="shared" si="32"/>
        <v>4.4067524611656327E-2</v>
      </c>
      <c r="BG40" s="546">
        <f t="shared" si="33"/>
        <v>4.3749999999999995E-3</v>
      </c>
      <c r="BH40" s="546">
        <f t="shared" si="34"/>
        <v>2.2996093750000002E-2</v>
      </c>
      <c r="BI40">
        <f t="shared" si="35"/>
        <v>3.48E-3</v>
      </c>
      <c r="BJ40">
        <f t="shared" si="82"/>
        <v>9.1305735232846144E-2</v>
      </c>
      <c r="BK40" s="472">
        <f t="shared" si="54"/>
        <v>91.305735232846146</v>
      </c>
      <c r="BL40" s="179">
        <f t="shared" si="83"/>
        <v>1.155E-2</v>
      </c>
      <c r="BM40" s="179">
        <f t="shared" si="84"/>
        <v>2.0999999999999998E-2</v>
      </c>
      <c r="BN40" s="546"/>
      <c r="BP40" s="472">
        <f t="shared" si="55"/>
        <v>32.549999999999997</v>
      </c>
      <c r="BQ40" s="546">
        <f t="shared" si="39"/>
        <v>9.0768970234584058E-3</v>
      </c>
      <c r="BR40" s="546">
        <f t="shared" si="56"/>
        <v>5.2209753169671254E-3</v>
      </c>
      <c r="BS40" s="546">
        <f t="shared" si="85"/>
        <v>8.4544932650899053E-3</v>
      </c>
      <c r="BT40" s="546">
        <f t="shared" si="41"/>
        <v>1.6724127041750539E-2</v>
      </c>
      <c r="BU40" s="546">
        <f t="shared" si="86"/>
        <v>3.9548478362373379E-2</v>
      </c>
      <c r="BV40" s="656">
        <f t="shared" si="87"/>
        <v>1.3886808510638299E-2</v>
      </c>
      <c r="BW40" s="472">
        <f t="shared" si="57"/>
        <v>53.435286873011677</v>
      </c>
      <c r="BX40" s="179">
        <f t="shared" si="58"/>
        <v>0.17729102210585784</v>
      </c>
      <c r="BY40" s="6">
        <f t="shared" si="59"/>
        <v>1.7639999999999998</v>
      </c>
      <c r="BZ40" s="179">
        <f t="shared" si="60"/>
        <v>0.90867365063403138</v>
      </c>
      <c r="CA40" s="6">
        <f t="shared" si="61"/>
        <v>90.867365063403142</v>
      </c>
      <c r="CB40">
        <f t="shared" si="92"/>
        <v>35</v>
      </c>
      <c r="CD40" s="581">
        <f t="shared" si="88"/>
        <v>-50</v>
      </c>
      <c r="CE40">
        <f t="shared" si="89"/>
        <v>-50</v>
      </c>
    </row>
    <row r="41" spans="5:83" x14ac:dyDescent="0.2">
      <c r="E41" s="176">
        <v>36</v>
      </c>
      <c r="F41" s="223">
        <f t="shared" si="93"/>
        <v>3.9599999999999996E-2</v>
      </c>
      <c r="G41" s="223">
        <f t="shared" si="90"/>
        <v>7.1999999999999995E-2</v>
      </c>
      <c r="H41" s="223">
        <f t="shared" si="65"/>
        <v>0.95039999999999991</v>
      </c>
      <c r="I41" s="223">
        <f t="shared" si="94"/>
        <v>0.86399999999999988</v>
      </c>
      <c r="J41" s="559">
        <f t="shared" si="1"/>
        <v>12</v>
      </c>
      <c r="K41" s="454">
        <f t="shared" si="2"/>
        <v>24.25</v>
      </c>
      <c r="L41" s="454">
        <f t="shared" si="3"/>
        <v>36.25</v>
      </c>
      <c r="M41" s="454"/>
      <c r="N41" s="223">
        <f t="shared" si="4"/>
        <v>0.66896551724137931</v>
      </c>
      <c r="O41" s="178">
        <f t="shared" si="91"/>
        <v>2.8961428571428565</v>
      </c>
      <c r="P41" s="178">
        <f t="shared" si="66"/>
        <v>5.0263636363636364</v>
      </c>
      <c r="Q41" s="223">
        <f t="shared" si="6"/>
        <v>0.12067261904761901</v>
      </c>
      <c r="R41" s="223">
        <f t="shared" si="67"/>
        <v>0.24134523809523803</v>
      </c>
      <c r="S41" s="454">
        <f t="shared" si="68"/>
        <v>24</v>
      </c>
      <c r="T41" s="223">
        <f t="shared" si="69"/>
        <v>0.47583288117200218</v>
      </c>
      <c r="U41" s="223">
        <f t="shared" si="10"/>
        <v>1.8636787845903418</v>
      </c>
      <c r="V41" s="223">
        <f t="shared" si="11"/>
        <v>0.92223280062202473</v>
      </c>
      <c r="W41" s="203">
        <f t="shared" si="12"/>
        <v>350</v>
      </c>
      <c r="X41" s="454">
        <f t="shared" si="48"/>
        <v>350</v>
      </c>
      <c r="Z41" s="223">
        <f t="shared" si="13"/>
        <v>0.48799916151346817</v>
      </c>
      <c r="AA41" s="179">
        <f t="shared" si="14"/>
        <v>0.94581280788177335</v>
      </c>
      <c r="AB41" s="179">
        <f t="shared" si="70"/>
        <v>8.077227500912576E-2</v>
      </c>
      <c r="AC41" s="179"/>
      <c r="AD41" s="179">
        <f t="shared" si="16"/>
        <v>0.56206185567010303</v>
      </c>
      <c r="AE41" s="563">
        <f t="shared" si="71"/>
        <v>485.89571685177225</v>
      </c>
      <c r="AF41" s="546">
        <f t="shared" si="72"/>
        <v>2.8524639175257726E-2</v>
      </c>
      <c r="AH41" s="179">
        <f t="shared" si="73"/>
        <v>0.46967621259847836</v>
      </c>
      <c r="AI41" s="179">
        <f t="shared" si="74"/>
        <v>0.46967621259847836</v>
      </c>
      <c r="AJ41" s="179">
        <f t="shared" si="75"/>
        <v>1.3330934908136876</v>
      </c>
      <c r="AL41" s="563">
        <f t="shared" si="76"/>
        <v>39.599999999999994</v>
      </c>
      <c r="AM41" s="472">
        <f t="shared" si="77"/>
        <v>350</v>
      </c>
      <c r="AO41">
        <f t="shared" si="49"/>
        <v>39.599999999999994</v>
      </c>
      <c r="AP41" s="472">
        <f t="shared" si="24"/>
        <v>350</v>
      </c>
      <c r="AQ41" s="472"/>
      <c r="AR41" s="6">
        <f t="shared" si="50"/>
        <v>2.8571428571428572</v>
      </c>
      <c r="AS41" s="6">
        <f t="shared" si="25"/>
        <v>1.8395651660107066</v>
      </c>
      <c r="AT41" s="6">
        <f t="shared" si="51"/>
        <v>1.0175776911321506</v>
      </c>
      <c r="AU41" s="179">
        <f t="shared" si="52"/>
        <v>0.64384780810374731</v>
      </c>
      <c r="AW41" s="6">
        <f t="shared" si="78"/>
        <v>0.30352825239176656</v>
      </c>
      <c r="AX41" s="6">
        <f t="shared" si="79"/>
        <v>1.1037390996064238</v>
      </c>
      <c r="AY41" s="6">
        <f t="shared" si="28"/>
        <v>0.141389742346783</v>
      </c>
      <c r="AZ41" s="6"/>
      <c r="BA41" s="179">
        <f t="shared" si="53"/>
        <v>0.21758529874494417</v>
      </c>
      <c r="BB41" s="179">
        <f t="shared" si="80"/>
        <v>0.16182877575910412</v>
      </c>
      <c r="BC41" s="179">
        <f t="shared" si="81"/>
        <v>0.29123174858317441</v>
      </c>
      <c r="BD41" s="179"/>
      <c r="BE41" s="546">
        <f t="shared" si="31"/>
        <v>1.6570176780474309E-2</v>
      </c>
      <c r="BF41" s="546">
        <f t="shared" si="32"/>
        <v>4.4692627105073948E-2</v>
      </c>
      <c r="BG41" s="546">
        <f t="shared" si="33"/>
        <v>4.3749999999999995E-3</v>
      </c>
      <c r="BH41" s="546">
        <f t="shared" si="34"/>
        <v>2.2996093750000002E-2</v>
      </c>
      <c r="BI41">
        <f t="shared" si="35"/>
        <v>3.48E-3</v>
      </c>
      <c r="BJ41">
        <f t="shared" si="82"/>
        <v>9.2645829805574009E-2</v>
      </c>
      <c r="BK41" s="472">
        <f t="shared" si="54"/>
        <v>92.64582980557401</v>
      </c>
      <c r="BL41" s="179">
        <f t="shared" si="83"/>
        <v>1.1879999999999998E-2</v>
      </c>
      <c r="BM41" s="179">
        <f t="shared" si="84"/>
        <v>2.1599999999999998E-2</v>
      </c>
      <c r="BN41" s="546"/>
      <c r="BP41" s="472">
        <f t="shared" si="55"/>
        <v>33.479999999999997</v>
      </c>
      <c r="BQ41" s="546">
        <f t="shared" si="39"/>
        <v>9.4686724459853225E-3</v>
      </c>
      <c r="BR41" s="546">
        <f t="shared" si="56"/>
        <v>5.2377105327380815E-3</v>
      </c>
      <c r="BS41" s="546">
        <f t="shared" si="85"/>
        <v>8.4815931382813316E-3</v>
      </c>
      <c r="BT41" s="546">
        <f t="shared" si="41"/>
        <v>1.7323535423236926E-2</v>
      </c>
      <c r="BU41" s="546">
        <f t="shared" si="86"/>
        <v>4.05868016031408E-2</v>
      </c>
      <c r="BV41" s="656">
        <f t="shared" si="87"/>
        <v>1.4283574468085106E-2</v>
      </c>
      <c r="BW41" s="472">
        <f t="shared" si="57"/>
        <v>54.870376071225905</v>
      </c>
      <c r="BX41" s="179">
        <f t="shared" si="58"/>
        <v>0.18099620587679993</v>
      </c>
      <c r="BY41" s="6">
        <f t="shared" si="59"/>
        <v>1.8143999999999998</v>
      </c>
      <c r="BZ41" s="179">
        <f t="shared" si="60"/>
        <v>0.90929309911298128</v>
      </c>
      <c r="CA41" s="6">
        <f t="shared" si="61"/>
        <v>90.929309911298134</v>
      </c>
      <c r="CB41">
        <f t="shared" si="92"/>
        <v>36</v>
      </c>
      <c r="CD41" s="581">
        <f t="shared" si="88"/>
        <v>-50</v>
      </c>
      <c r="CE41">
        <f t="shared" si="89"/>
        <v>-50</v>
      </c>
    </row>
    <row r="42" spans="5:83" x14ac:dyDescent="0.2">
      <c r="E42" s="176">
        <v>37</v>
      </c>
      <c r="F42" s="223">
        <f t="shared" si="93"/>
        <v>4.07E-2</v>
      </c>
      <c r="G42" s="223">
        <f t="shared" si="90"/>
        <v>7.3999999999999996E-2</v>
      </c>
      <c r="H42" s="223">
        <f t="shared" si="65"/>
        <v>0.9768</v>
      </c>
      <c r="I42" s="223">
        <f t="shared" si="94"/>
        <v>0.8879999999999999</v>
      </c>
      <c r="J42" s="559">
        <f t="shared" si="1"/>
        <v>12</v>
      </c>
      <c r="K42" s="454">
        <f t="shared" si="2"/>
        <v>24.25</v>
      </c>
      <c r="L42" s="454">
        <f t="shared" si="3"/>
        <v>36.25</v>
      </c>
      <c r="M42" s="454"/>
      <c r="N42" s="223">
        <f t="shared" si="4"/>
        <v>0.66896551724137931</v>
      </c>
      <c r="O42" s="178">
        <f t="shared" si="91"/>
        <v>2.8961428571428565</v>
      </c>
      <c r="P42" s="178">
        <f t="shared" si="66"/>
        <v>5.0263636363636364</v>
      </c>
      <c r="Q42" s="223">
        <f t="shared" si="6"/>
        <v>0.12067261904761901</v>
      </c>
      <c r="R42" s="223">
        <f t="shared" si="67"/>
        <v>0.24134523809523803</v>
      </c>
      <c r="S42" s="454">
        <f t="shared" si="68"/>
        <v>24</v>
      </c>
      <c r="T42" s="223">
        <f t="shared" si="69"/>
        <v>0.48905046120455781</v>
      </c>
      <c r="U42" s="223">
        <f t="shared" si="10"/>
        <v>1.9154476397178515</v>
      </c>
      <c r="V42" s="223">
        <f t="shared" si="11"/>
        <v>0.94785037841708109</v>
      </c>
      <c r="W42" s="203">
        <f t="shared" si="12"/>
        <v>350</v>
      </c>
      <c r="X42" s="454">
        <f t="shared" si="48"/>
        <v>349.24761364916196</v>
      </c>
      <c r="Z42" s="223">
        <f t="shared" si="13"/>
        <v>0.48799916151346817</v>
      </c>
      <c r="AA42" s="179">
        <f t="shared" si="14"/>
        <v>0.94581280788177335</v>
      </c>
      <c r="AB42" s="179">
        <f t="shared" si="70"/>
        <v>8.077227500912576E-2</v>
      </c>
      <c r="AC42" s="179"/>
      <c r="AD42" s="179">
        <f t="shared" si="16"/>
        <v>0.56206185567010303</v>
      </c>
      <c r="AE42" s="563">
        <f t="shared" si="71"/>
        <v>499.39282009765492</v>
      </c>
      <c r="AF42" s="546">
        <f t="shared" si="72"/>
        <v>2.8524639175257726E-2</v>
      </c>
      <c r="AH42" s="179">
        <f t="shared" si="73"/>
        <v>0.47615481122773418</v>
      </c>
      <c r="AI42" s="179">
        <f t="shared" si="74"/>
        <v>0.47615481122773418</v>
      </c>
      <c r="AJ42" s="179">
        <f t="shared" si="75"/>
        <v>1.3378924527612845</v>
      </c>
      <c r="AL42" s="563">
        <f t="shared" si="76"/>
        <v>40.700000000000003</v>
      </c>
      <c r="AM42" s="472">
        <f t="shared" si="77"/>
        <v>349.24761364916196</v>
      </c>
      <c r="AO42">
        <f t="shared" si="49"/>
        <v>40.700000000000003</v>
      </c>
      <c r="AP42" s="472">
        <f t="shared" si="24"/>
        <v>349.24761364916196</v>
      </c>
      <c r="AQ42" s="472"/>
      <c r="AR42" s="6">
        <f t="shared" si="50"/>
        <v>2.8632980181349321</v>
      </c>
      <c r="AS42" s="6">
        <f t="shared" si="25"/>
        <v>1.8649396773086253</v>
      </c>
      <c r="AT42" s="6">
        <f t="shared" si="51"/>
        <v>0.99835834082630681</v>
      </c>
      <c r="AU42" s="179">
        <f t="shared" si="52"/>
        <v>0.65132573189967558</v>
      </c>
      <c r="AW42" s="6">
        <f t="shared" si="78"/>
        <v>0.31626268694358767</v>
      </c>
      <c r="AX42" s="6">
        <f t="shared" si="79"/>
        <v>1.1500461343403188</v>
      </c>
      <c r="AY42" s="6">
        <f t="shared" si="28"/>
        <v>0.14257257709344101</v>
      </c>
      <c r="AZ42" s="6"/>
      <c r="BA42" s="179">
        <f t="shared" si="53"/>
        <v>0.22186391265471858</v>
      </c>
      <c r="BB42" s="179">
        <f t="shared" si="80"/>
        <v>0.16232951779219268</v>
      </c>
      <c r="BC42" s="179">
        <f t="shared" si="81"/>
        <v>0.29213289843863993</v>
      </c>
      <c r="BD42" s="179"/>
      <c r="BE42" s="546">
        <f t="shared" si="31"/>
        <v>1.7228258508461207E-2</v>
      </c>
      <c r="BF42" s="546">
        <f t="shared" si="32"/>
        <v>4.5211706389844501E-2</v>
      </c>
      <c r="BG42" s="546">
        <f t="shared" si="33"/>
        <v>4.3655951706145241E-3</v>
      </c>
      <c r="BH42" s="546">
        <f t="shared" si="34"/>
        <v>2.2946659615542597E-2</v>
      </c>
      <c r="BI42">
        <f t="shared" si="35"/>
        <v>3.48E-3</v>
      </c>
      <c r="BJ42">
        <f t="shared" si="82"/>
        <v>9.3792120335649362E-2</v>
      </c>
      <c r="BK42" s="472">
        <f t="shared" si="54"/>
        <v>93.792120335649358</v>
      </c>
      <c r="BL42" s="179">
        <f t="shared" si="83"/>
        <v>1.221E-2</v>
      </c>
      <c r="BM42" s="179">
        <f t="shared" si="84"/>
        <v>2.2199999999999998E-2</v>
      </c>
      <c r="BN42" s="546"/>
      <c r="BP42" s="472">
        <f t="shared" si="55"/>
        <v>34.409999999999997</v>
      </c>
      <c r="BQ42" s="546">
        <f t="shared" si="39"/>
        <v>9.844719147692119E-3</v>
      </c>
      <c r="BR42" s="546">
        <f t="shared" si="56"/>
        <v>5.2701744693291605E-3</v>
      </c>
      <c r="BS42" s="546">
        <f t="shared" si="85"/>
        <v>8.5341630350160708E-3</v>
      </c>
      <c r="BT42" s="546">
        <f t="shared" si="41"/>
        <v>1.7830932872454377E-2</v>
      </c>
      <c r="BU42" s="546">
        <f t="shared" si="86"/>
        <v>4.1558615288278339E-2</v>
      </c>
      <c r="BV42" s="656">
        <f t="shared" si="87"/>
        <v>1.4648782460498127E-2</v>
      </c>
      <c r="BW42" s="472">
        <f t="shared" si="57"/>
        <v>56.207397748776465</v>
      </c>
      <c r="BX42" s="179">
        <f t="shared" si="58"/>
        <v>0.18440951808442585</v>
      </c>
      <c r="BY42" s="6">
        <f t="shared" si="59"/>
        <v>1.8647999999999998</v>
      </c>
      <c r="BZ42" s="179">
        <f t="shared" si="60"/>
        <v>0.91000943707463877</v>
      </c>
      <c r="CA42" s="6">
        <f t="shared" si="61"/>
        <v>91.000943707463875</v>
      </c>
      <c r="CB42">
        <f t="shared" si="92"/>
        <v>37</v>
      </c>
      <c r="CD42" s="581">
        <f t="shared" si="88"/>
        <v>-50</v>
      </c>
      <c r="CE42">
        <f t="shared" si="89"/>
        <v>-50</v>
      </c>
    </row>
    <row r="43" spans="5:83" x14ac:dyDescent="0.2">
      <c r="E43" s="176">
        <v>38</v>
      </c>
      <c r="F43" s="223">
        <f t="shared" si="93"/>
        <v>4.1800000000000004E-2</v>
      </c>
      <c r="G43" s="223">
        <f t="shared" si="90"/>
        <v>7.6000000000000012E-2</v>
      </c>
      <c r="H43" s="223">
        <f t="shared" si="65"/>
        <v>1.0032000000000001</v>
      </c>
      <c r="I43" s="223">
        <f t="shared" si="94"/>
        <v>0.91200000000000014</v>
      </c>
      <c r="J43" s="559">
        <f t="shared" si="1"/>
        <v>12</v>
      </c>
      <c r="K43" s="454">
        <f t="shared" si="2"/>
        <v>24.25</v>
      </c>
      <c r="L43" s="454">
        <f t="shared" si="3"/>
        <v>36.25</v>
      </c>
      <c r="M43" s="454"/>
      <c r="N43" s="223">
        <f t="shared" si="4"/>
        <v>0.66896551724137931</v>
      </c>
      <c r="O43" s="178">
        <f t="shared" si="91"/>
        <v>2.8961428571428565</v>
      </c>
      <c r="P43" s="178">
        <f t="shared" si="66"/>
        <v>5.0263636363636364</v>
      </c>
      <c r="Q43" s="223">
        <f t="shared" si="6"/>
        <v>0.12067261904761901</v>
      </c>
      <c r="R43" s="223">
        <f t="shared" si="67"/>
        <v>0.24134523809523803</v>
      </c>
      <c r="S43" s="454">
        <f t="shared" si="68"/>
        <v>24</v>
      </c>
      <c r="T43" s="223">
        <f t="shared" si="69"/>
        <v>0.50226804123711355</v>
      </c>
      <c r="U43" s="223">
        <f t="shared" si="10"/>
        <v>1.9672164948453612</v>
      </c>
      <c r="V43" s="223">
        <f t="shared" si="11"/>
        <v>0.97346795621213755</v>
      </c>
      <c r="W43" s="203">
        <f t="shared" si="12"/>
        <v>350</v>
      </c>
      <c r="X43" s="454">
        <f t="shared" si="48"/>
        <v>340.0568869741839</v>
      </c>
      <c r="Z43" s="223">
        <f t="shared" si="13"/>
        <v>0.48799916151346817</v>
      </c>
      <c r="AA43" s="179">
        <f t="shared" si="14"/>
        <v>0.94581280788177335</v>
      </c>
      <c r="AB43" s="179">
        <f t="shared" si="70"/>
        <v>8.077227500912576E-2</v>
      </c>
      <c r="AC43" s="179"/>
      <c r="AD43" s="179">
        <f t="shared" si="16"/>
        <v>0.56206185567010303</v>
      </c>
      <c r="AE43" s="563">
        <f t="shared" si="71"/>
        <v>512.88992334353748</v>
      </c>
      <c r="AF43" s="546">
        <f t="shared" si="72"/>
        <v>2.8524639175257726E-2</v>
      </c>
      <c r="AH43" s="179">
        <f t="shared" si="73"/>
        <v>0.48254643696724903</v>
      </c>
      <c r="AI43" s="179">
        <f t="shared" si="74"/>
        <v>0.48254643696724903</v>
      </c>
      <c r="AJ43" s="179">
        <f t="shared" si="75"/>
        <v>1.3426269903461103</v>
      </c>
      <c r="AL43" s="563">
        <f t="shared" si="76"/>
        <v>41.800000000000004</v>
      </c>
      <c r="AM43" s="472">
        <f t="shared" si="77"/>
        <v>340.0568869741839</v>
      </c>
      <c r="AO43">
        <f t="shared" si="49"/>
        <v>41.800000000000004</v>
      </c>
      <c r="AP43" s="472">
        <f t="shared" si="24"/>
        <v>340.0568869741839</v>
      </c>
      <c r="AQ43" s="472"/>
      <c r="AR43" s="6">
        <f t="shared" si="50"/>
        <v>2.9406844510574994</v>
      </c>
      <c r="AS43" s="6">
        <f t="shared" si="25"/>
        <v>1.8899735447883921</v>
      </c>
      <c r="AT43" s="6">
        <f t="shared" si="51"/>
        <v>1.0507109062691073</v>
      </c>
      <c r="AU43" s="179">
        <f t="shared" si="52"/>
        <v>0.64269852010430384</v>
      </c>
      <c r="AW43" s="6">
        <f t="shared" si="78"/>
        <v>0.32917039238397827</v>
      </c>
      <c r="AX43" s="6">
        <f t="shared" si="79"/>
        <v>1.1969832450326485</v>
      </c>
      <c r="AY43" s="6">
        <f t="shared" si="28"/>
        <v>0.15410426625280241</v>
      </c>
      <c r="AZ43" s="6"/>
      <c r="BA43" s="179">
        <f t="shared" si="53"/>
        <v>0.22334803493510383</v>
      </c>
      <c r="BB43" s="179">
        <f t="shared" si="80"/>
        <v>0.16653130806915376</v>
      </c>
      <c r="BC43" s="179">
        <f t="shared" si="81"/>
        <v>0.29969456183131571</v>
      </c>
      <c r="BD43" s="179"/>
      <c r="BE43" s="546">
        <f t="shared" si="31"/>
        <v>1.7459520648280324E-2</v>
      </c>
      <c r="BF43" s="546">
        <f t="shared" si="32"/>
        <v>4.461284940085726E-2</v>
      </c>
      <c r="BG43" s="546">
        <f t="shared" si="33"/>
        <v>4.2507110871772983E-3</v>
      </c>
      <c r="BH43" s="546">
        <f t="shared" si="34"/>
        <v>2.2342800151975678E-2</v>
      </c>
      <c r="BI43">
        <f t="shared" si="35"/>
        <v>3.48E-3</v>
      </c>
      <c r="BJ43">
        <f t="shared" si="82"/>
        <v>9.2706731417466839E-2</v>
      </c>
      <c r="BK43" s="472">
        <f t="shared" si="54"/>
        <v>92.706731417466841</v>
      </c>
      <c r="BL43" s="179">
        <f t="shared" si="83"/>
        <v>1.2540000000000001E-2</v>
      </c>
      <c r="BM43" s="179">
        <f t="shared" si="84"/>
        <v>2.2800000000000004E-2</v>
      </c>
      <c r="BN43" s="546"/>
      <c r="BP43" s="472">
        <f t="shared" si="55"/>
        <v>35.340000000000003</v>
      </c>
      <c r="BQ43" s="546">
        <f t="shared" si="39"/>
        <v>9.9768689418744741E-3</v>
      </c>
      <c r="BR43" s="546">
        <f t="shared" si="56"/>
        <v>5.5465353134446791E-3</v>
      </c>
      <c r="BS43" s="546">
        <f t="shared" si="85"/>
        <v>8.981683039126432E-3</v>
      </c>
      <c r="BT43" s="546">
        <f t="shared" si="41"/>
        <v>1.7246331290356583E-2</v>
      </c>
      <c r="BU43" s="546">
        <f t="shared" si="86"/>
        <v>4.1833429131417472E-2</v>
      </c>
      <c r="BV43" s="656">
        <f t="shared" si="87"/>
        <v>1.4648782460498121E-2</v>
      </c>
      <c r="BW43" s="472">
        <f t="shared" si="57"/>
        <v>56.482211591915593</v>
      </c>
      <c r="BX43" s="179">
        <f t="shared" si="58"/>
        <v>0.18452894300938241</v>
      </c>
      <c r="BY43" s="6">
        <f t="shared" si="59"/>
        <v>1.9152000000000002</v>
      </c>
      <c r="BZ43" s="179">
        <f t="shared" si="60"/>
        <v>0.91211773137493113</v>
      </c>
      <c r="CA43" s="6">
        <f t="shared" si="61"/>
        <v>91.211773137493111</v>
      </c>
      <c r="CB43">
        <f t="shared" si="92"/>
        <v>38.000000000000007</v>
      </c>
      <c r="CD43" s="581">
        <f t="shared" si="88"/>
        <v>-50</v>
      </c>
      <c r="CE43">
        <f t="shared" si="89"/>
        <v>-50</v>
      </c>
    </row>
    <row r="44" spans="5:83" x14ac:dyDescent="0.2">
      <c r="E44" s="176">
        <v>39</v>
      </c>
      <c r="F44" s="223">
        <f t="shared" si="93"/>
        <v>4.2900000000000001E-2</v>
      </c>
      <c r="G44" s="223">
        <f t="shared" si="90"/>
        <v>7.8000000000000014E-2</v>
      </c>
      <c r="H44" s="223">
        <f t="shared" si="65"/>
        <v>1.0296000000000001</v>
      </c>
      <c r="I44" s="223">
        <f t="shared" si="94"/>
        <v>0.93600000000000017</v>
      </c>
      <c r="J44" s="559">
        <f t="shared" si="1"/>
        <v>12</v>
      </c>
      <c r="K44" s="454">
        <f t="shared" si="2"/>
        <v>24.25</v>
      </c>
      <c r="L44" s="454">
        <f t="shared" si="3"/>
        <v>36.25</v>
      </c>
      <c r="M44" s="454"/>
      <c r="N44" s="223">
        <f t="shared" si="4"/>
        <v>0.66896551724137931</v>
      </c>
      <c r="O44" s="178">
        <f t="shared" si="91"/>
        <v>2.8961428571428565</v>
      </c>
      <c r="P44" s="178">
        <f t="shared" si="66"/>
        <v>5.0263636363636364</v>
      </c>
      <c r="Q44" s="223">
        <f t="shared" si="6"/>
        <v>0.12067261904761901</v>
      </c>
      <c r="R44" s="223">
        <f t="shared" si="67"/>
        <v>0.24134523809523803</v>
      </c>
      <c r="S44" s="454">
        <f t="shared" si="68"/>
        <v>24</v>
      </c>
      <c r="T44" s="223">
        <f t="shared" si="69"/>
        <v>0.51548562126966913</v>
      </c>
      <c r="U44" s="223">
        <f t="shared" si="10"/>
        <v>2.0189853499728709</v>
      </c>
      <c r="V44" s="223">
        <f t="shared" si="11"/>
        <v>0.9990855340071938</v>
      </c>
      <c r="W44" s="203">
        <f t="shared" si="12"/>
        <v>350</v>
      </c>
      <c r="X44" s="454">
        <f t="shared" si="48"/>
        <v>331.33747961587153</v>
      </c>
      <c r="Z44" s="223">
        <f t="shared" si="13"/>
        <v>0.48799916151346817</v>
      </c>
      <c r="AA44" s="179">
        <f t="shared" si="14"/>
        <v>0.94581280788177335</v>
      </c>
      <c r="AB44" s="179">
        <f t="shared" si="70"/>
        <v>8.077227500912576E-2</v>
      </c>
      <c r="AC44" s="179"/>
      <c r="AD44" s="179">
        <f t="shared" si="16"/>
        <v>0.56206185567010303</v>
      </c>
      <c r="AE44" s="563">
        <f t="shared" si="71"/>
        <v>526.38702658942009</v>
      </c>
      <c r="AF44" s="546">
        <f t="shared" si="72"/>
        <v>2.8524639175257726E-2</v>
      </c>
      <c r="AH44" s="179">
        <f t="shared" si="73"/>
        <v>0.4888545012621397</v>
      </c>
      <c r="AI44" s="179">
        <f t="shared" si="74"/>
        <v>0.4888545012621397</v>
      </c>
      <c r="AJ44" s="179">
        <f t="shared" si="75"/>
        <v>1.3472996305645479</v>
      </c>
      <c r="AL44" s="563">
        <f t="shared" si="76"/>
        <v>42.9</v>
      </c>
      <c r="AM44" s="472">
        <f t="shared" si="77"/>
        <v>331.33747961587153</v>
      </c>
      <c r="AO44">
        <f t="shared" si="49"/>
        <v>42.9</v>
      </c>
      <c r="AP44" s="472">
        <f t="shared" si="24"/>
        <v>331.33747961587153</v>
      </c>
      <c r="AQ44" s="472"/>
      <c r="AR44" s="6">
        <f t="shared" si="50"/>
        <v>3.0180708839800645</v>
      </c>
      <c r="AS44" s="6">
        <f t="shared" si="25"/>
        <v>1.9146801299433802</v>
      </c>
      <c r="AT44" s="6">
        <f t="shared" si="51"/>
        <v>1.1033907540366843</v>
      </c>
      <c r="AU44" s="179">
        <f t="shared" si="52"/>
        <v>0.63440528852602895</v>
      </c>
      <c r="AW44" s="6">
        <f t="shared" si="78"/>
        <v>0.34224907322737924</v>
      </c>
      <c r="AX44" s="6">
        <f t="shared" si="79"/>
        <v>1.2445420844631974</v>
      </c>
      <c r="AY44" s="6">
        <f t="shared" si="28"/>
        <v>0.16608934508131143</v>
      </c>
      <c r="AZ44" s="6"/>
      <c r="BA44" s="179">
        <f t="shared" si="53"/>
        <v>0.2248031479412293</v>
      </c>
      <c r="BB44" s="179">
        <f t="shared" si="80"/>
        <v>0.17065497104918709</v>
      </c>
      <c r="BC44" s="179">
        <f t="shared" si="81"/>
        <v>0.30711562507924212</v>
      </c>
      <c r="BD44" s="179"/>
      <c r="BE44" s="546">
        <f t="shared" si="31"/>
        <v>1.7687759363500179E-2</v>
      </c>
      <c r="BF44" s="546">
        <f t="shared" si="32"/>
        <v>4.4037175613109998E-2</v>
      </c>
      <c r="BG44" s="546">
        <f t="shared" si="33"/>
        <v>4.1417184951983944E-3</v>
      </c>
      <c r="BH44" s="546">
        <f t="shared" si="34"/>
        <v>2.176990784038656E-2</v>
      </c>
      <c r="BI44">
        <f t="shared" si="35"/>
        <v>3.48E-3</v>
      </c>
      <c r="BJ44">
        <f t="shared" si="82"/>
        <v>9.1678440931192207E-2</v>
      </c>
      <c r="BK44" s="472">
        <f t="shared" si="54"/>
        <v>91.678440931192213</v>
      </c>
      <c r="BL44" s="179">
        <f t="shared" si="83"/>
        <v>1.2869999999999999E-2</v>
      </c>
      <c r="BM44" s="179">
        <f t="shared" si="84"/>
        <v>2.3400000000000004E-2</v>
      </c>
      <c r="BN44" s="546"/>
      <c r="BP44" s="472">
        <f t="shared" si="55"/>
        <v>36.270000000000003</v>
      </c>
      <c r="BQ44" s="546">
        <f t="shared" si="39"/>
        <v>1.0107291064857245E-2</v>
      </c>
      <c r="BR44" s="546">
        <f t="shared" si="56"/>
        <v>5.8246238287597771E-3</v>
      </c>
      <c r="BS44" s="546">
        <f t="shared" si="85"/>
        <v>9.4320007167813611E-3</v>
      </c>
      <c r="BT44" s="546">
        <f t="shared" si="41"/>
        <v>1.6695347437223583E-2</v>
      </c>
      <c r="BU44" s="546">
        <f t="shared" si="86"/>
        <v>4.214477957823326E-2</v>
      </c>
      <c r="BV44" s="656">
        <f t="shared" si="87"/>
        <v>1.4648782460498123E-2</v>
      </c>
      <c r="BW44" s="472">
        <f t="shared" si="57"/>
        <v>56.793562038731388</v>
      </c>
      <c r="BX44" s="179">
        <f t="shared" si="58"/>
        <v>0.18474200296992357</v>
      </c>
      <c r="BY44" s="6">
        <f t="shared" si="59"/>
        <v>1.9656000000000002</v>
      </c>
      <c r="BZ44" s="179">
        <f t="shared" si="60"/>
        <v>0.91408715324596335</v>
      </c>
      <c r="CA44" s="6">
        <f t="shared" si="61"/>
        <v>91.408715324596329</v>
      </c>
      <c r="CB44">
        <f t="shared" si="92"/>
        <v>39</v>
      </c>
      <c r="CD44" s="581">
        <f t="shared" si="88"/>
        <v>-50</v>
      </c>
      <c r="CE44">
        <f t="shared" si="89"/>
        <v>-50</v>
      </c>
    </row>
    <row r="45" spans="5:83" x14ac:dyDescent="0.2">
      <c r="E45" s="176">
        <v>40</v>
      </c>
      <c r="F45" s="223">
        <f t="shared" si="93"/>
        <v>4.4000000000000004E-2</v>
      </c>
      <c r="G45" s="223">
        <f t="shared" si="90"/>
        <v>8.0000000000000016E-2</v>
      </c>
      <c r="H45" s="223">
        <f t="shared" si="65"/>
        <v>1.056</v>
      </c>
      <c r="I45" s="223">
        <f t="shared" si="94"/>
        <v>0.96000000000000019</v>
      </c>
      <c r="J45" s="559">
        <f t="shared" si="1"/>
        <v>12</v>
      </c>
      <c r="K45" s="454">
        <f t="shared" si="2"/>
        <v>24.25</v>
      </c>
      <c r="L45" s="454">
        <f t="shared" si="3"/>
        <v>36.25</v>
      </c>
      <c r="M45" s="454"/>
      <c r="N45" s="223">
        <f t="shared" si="4"/>
        <v>0.66896551724137931</v>
      </c>
      <c r="O45" s="178">
        <f t="shared" si="91"/>
        <v>2.8961428571428565</v>
      </c>
      <c r="P45" s="178">
        <f t="shared" si="66"/>
        <v>5.0263636363636364</v>
      </c>
      <c r="Q45" s="223">
        <f t="shared" si="6"/>
        <v>0.12067261904761901</v>
      </c>
      <c r="R45" s="223">
        <f t="shared" si="67"/>
        <v>0.24134523809523803</v>
      </c>
      <c r="S45" s="454">
        <f t="shared" si="68"/>
        <v>24</v>
      </c>
      <c r="T45" s="223">
        <f t="shared" si="69"/>
        <v>0.5287032013022247</v>
      </c>
      <c r="U45" s="223">
        <f t="shared" si="10"/>
        <v>2.0707542051003802</v>
      </c>
      <c r="V45" s="223">
        <f t="shared" si="11"/>
        <v>1.02470311180225</v>
      </c>
      <c r="W45" s="203">
        <f t="shared" si="12"/>
        <v>350</v>
      </c>
      <c r="X45" s="454">
        <f t="shared" si="48"/>
        <v>323.05404262547478</v>
      </c>
      <c r="Z45" s="223">
        <f t="shared" si="13"/>
        <v>0.48799916151346817</v>
      </c>
      <c r="AA45" s="179">
        <f t="shared" si="14"/>
        <v>0.94581280788177335</v>
      </c>
      <c r="AB45" s="179">
        <f t="shared" si="70"/>
        <v>8.077227500912576E-2</v>
      </c>
      <c r="AC45" s="179"/>
      <c r="AD45" s="179">
        <f t="shared" si="16"/>
        <v>0.56206185567010303</v>
      </c>
      <c r="AE45" s="563">
        <f t="shared" si="71"/>
        <v>539.88412983530259</v>
      </c>
      <c r="AF45" s="546">
        <f t="shared" si="72"/>
        <v>2.8524639175257726E-2</v>
      </c>
      <c r="AH45" s="179">
        <f t="shared" si="73"/>
        <v>0.49508219820422084</v>
      </c>
      <c r="AI45" s="179">
        <f t="shared" si="74"/>
        <v>0.49508219820422084</v>
      </c>
      <c r="AJ45" s="179">
        <f t="shared" si="75"/>
        <v>1.3519127394105339</v>
      </c>
      <c r="AL45" s="563">
        <f t="shared" si="76"/>
        <v>44.000000000000007</v>
      </c>
      <c r="AM45" s="472">
        <f t="shared" si="77"/>
        <v>323.05404262547478</v>
      </c>
      <c r="AO45">
        <f t="shared" si="49"/>
        <v>44.000000000000007</v>
      </c>
      <c r="AP45" s="472">
        <f t="shared" si="24"/>
        <v>323.05404262547478</v>
      </c>
      <c r="AQ45" s="472"/>
      <c r="AR45" s="6">
        <f t="shared" si="50"/>
        <v>3.0954573169026296</v>
      </c>
      <c r="AS45" s="6">
        <f t="shared" si="25"/>
        <v>1.9390719429665313</v>
      </c>
      <c r="AT45" s="6">
        <f t="shared" si="51"/>
        <v>1.1563853739360983</v>
      </c>
      <c r="AU45" s="179">
        <f t="shared" si="52"/>
        <v>0.62642503011697204</v>
      </c>
      <c r="AW45" s="6">
        <f t="shared" si="78"/>
        <v>0.35549652287719746</v>
      </c>
      <c r="AX45" s="6">
        <f t="shared" si="79"/>
        <v>1.2927146286443545</v>
      </c>
      <c r="AY45" s="6">
        <f t="shared" si="28"/>
        <v>0.17852967176557308</v>
      </c>
      <c r="AZ45" s="6"/>
      <c r="BA45" s="179">
        <f t="shared" si="53"/>
        <v>0.22623054121795674</v>
      </c>
      <c r="BB45" s="179">
        <f t="shared" si="80"/>
        <v>0.17470509402935233</v>
      </c>
      <c r="BC45" s="179">
        <f t="shared" si="81"/>
        <v>0.31440434361497549</v>
      </c>
      <c r="BD45" s="179"/>
      <c r="BE45" s="546">
        <f t="shared" si="31"/>
        <v>1.7913090222919367E-2</v>
      </c>
      <c r="BF45" s="546">
        <f t="shared" si="32"/>
        <v>4.3483226824608964E-2</v>
      </c>
      <c r="BG45" s="546">
        <f t="shared" si="33"/>
        <v>4.038175532818435E-3</v>
      </c>
      <c r="BH45" s="546">
        <f t="shared" si="34"/>
        <v>2.12256601443769E-2</v>
      </c>
      <c r="BI45">
        <f t="shared" si="35"/>
        <v>3.48E-3</v>
      </c>
      <c r="BJ45">
        <f t="shared" si="82"/>
        <v>9.0703136732700515E-2</v>
      </c>
      <c r="BK45" s="472">
        <f t="shared" si="54"/>
        <v>90.703136732700514</v>
      </c>
      <c r="BL45" s="179">
        <f t="shared" si="83"/>
        <v>1.3200000000000002E-2</v>
      </c>
      <c r="BM45" s="179">
        <f t="shared" si="84"/>
        <v>2.4000000000000004E-2</v>
      </c>
      <c r="BN45" s="546"/>
      <c r="BP45" s="472">
        <f t="shared" si="55"/>
        <v>37.200000000000003</v>
      </c>
      <c r="BQ45" s="546">
        <f t="shared" si="39"/>
        <v>1.0236051555953925E-2</v>
      </c>
      <c r="BR45" s="546">
        <f t="shared" si="56"/>
        <v>6.104373975960968E-3</v>
      </c>
      <c r="BS45" s="546">
        <f t="shared" si="85"/>
        <v>9.8850091283963579E-3</v>
      </c>
      <c r="BT45" s="546">
        <f t="shared" si="41"/>
        <v>1.6175258537875228E-2</v>
      </c>
      <c r="BU45" s="546">
        <f t="shared" si="86"/>
        <v>4.2489838356550229E-2</v>
      </c>
      <c r="BV45" s="656">
        <f t="shared" si="87"/>
        <v>1.4648782460498123E-2</v>
      </c>
      <c r="BW45" s="472">
        <f t="shared" si="57"/>
        <v>57.138620817048356</v>
      </c>
      <c r="BX45" s="179">
        <f t="shared" si="58"/>
        <v>0.18504175754974886</v>
      </c>
      <c r="BY45" s="6">
        <f t="shared" si="59"/>
        <v>2.016</v>
      </c>
      <c r="BZ45" s="179">
        <f t="shared" si="60"/>
        <v>0.91592991958692249</v>
      </c>
      <c r="CA45" s="6">
        <f t="shared" si="61"/>
        <v>91.592991958692252</v>
      </c>
      <c r="CB45">
        <f t="shared" si="92"/>
        <v>40</v>
      </c>
      <c r="CD45" s="581">
        <f t="shared" si="88"/>
        <v>-50</v>
      </c>
      <c r="CE45">
        <f t="shared" si="89"/>
        <v>-50</v>
      </c>
    </row>
    <row r="46" spans="5:83" x14ac:dyDescent="0.2">
      <c r="E46" s="176">
        <v>41</v>
      </c>
      <c r="F46" s="223">
        <f t="shared" si="93"/>
        <v>4.5099999999999994E-2</v>
      </c>
      <c r="G46" s="223">
        <f t="shared" si="90"/>
        <v>8.2000000000000003E-2</v>
      </c>
      <c r="H46" s="223">
        <f t="shared" si="65"/>
        <v>1.0823999999999998</v>
      </c>
      <c r="I46" s="223">
        <f t="shared" si="94"/>
        <v>0.98399999999999999</v>
      </c>
      <c r="J46" s="559">
        <f t="shared" si="1"/>
        <v>12</v>
      </c>
      <c r="K46" s="454">
        <f t="shared" si="2"/>
        <v>24.25</v>
      </c>
      <c r="L46" s="454">
        <f t="shared" si="3"/>
        <v>36.25</v>
      </c>
      <c r="M46" s="454"/>
      <c r="N46" s="223">
        <f t="shared" si="4"/>
        <v>0.66896551724137931</v>
      </c>
      <c r="O46" s="178">
        <f t="shared" si="91"/>
        <v>2.8961428571428565</v>
      </c>
      <c r="P46" s="178">
        <f t="shared" si="66"/>
        <v>5.0263636363636364</v>
      </c>
      <c r="Q46" s="223">
        <f t="shared" si="6"/>
        <v>0.12067261904761901</v>
      </c>
      <c r="R46" s="223">
        <f t="shared" si="67"/>
        <v>0.24134523809523803</v>
      </c>
      <c r="S46" s="454">
        <f t="shared" si="68"/>
        <v>24</v>
      </c>
      <c r="T46" s="223">
        <f t="shared" si="69"/>
        <v>0.54192078133478028</v>
      </c>
      <c r="U46" s="223">
        <f t="shared" si="10"/>
        <v>2.1225230602278895</v>
      </c>
      <c r="V46" s="223">
        <f t="shared" si="11"/>
        <v>1.0503206895973058</v>
      </c>
      <c r="W46" s="203">
        <f t="shared" si="12"/>
        <v>350</v>
      </c>
      <c r="X46" s="454">
        <f t="shared" si="48"/>
        <v>315.17467573217056</v>
      </c>
      <c r="Z46" s="223">
        <f t="shared" si="13"/>
        <v>0.48799916151346817</v>
      </c>
      <c r="AA46" s="179">
        <f t="shared" si="14"/>
        <v>0.94581280788177335</v>
      </c>
      <c r="AB46" s="179">
        <f t="shared" si="70"/>
        <v>8.077227500912576E-2</v>
      </c>
      <c r="AC46" s="179"/>
      <c r="AD46" s="179">
        <f t="shared" si="16"/>
        <v>0.56206185567010303</v>
      </c>
      <c r="AE46" s="563">
        <f t="shared" si="71"/>
        <v>553.38123308118497</v>
      </c>
      <c r="AF46" s="546">
        <f t="shared" si="72"/>
        <v>2.8524639175257726E-2</v>
      </c>
      <c r="AH46" s="179">
        <f t="shared" si="73"/>
        <v>0.50123252343916336</v>
      </c>
      <c r="AI46" s="179">
        <f t="shared" si="74"/>
        <v>0.50123252343916336</v>
      </c>
      <c r="AJ46" s="179">
        <f t="shared" si="75"/>
        <v>1.3564685358808617</v>
      </c>
      <c r="AL46" s="563">
        <f t="shared" si="76"/>
        <v>45.099999999999994</v>
      </c>
      <c r="AM46" s="472">
        <f t="shared" si="77"/>
        <v>315.17467573217056</v>
      </c>
      <c r="AO46">
        <f t="shared" si="49"/>
        <v>45.099999999999994</v>
      </c>
      <c r="AP46" s="472">
        <f t="shared" si="24"/>
        <v>315.17467573217056</v>
      </c>
      <c r="AQ46" s="472"/>
      <c r="AR46" s="6">
        <f t="shared" si="50"/>
        <v>3.1728437498251951</v>
      </c>
      <c r="AS46" s="6">
        <f t="shared" si="25"/>
        <v>1.9631607168033895</v>
      </c>
      <c r="AT46" s="6">
        <f t="shared" si="51"/>
        <v>1.2096830330218056</v>
      </c>
      <c r="AU46" s="179">
        <f t="shared" si="52"/>
        <v>0.61873854232864389</v>
      </c>
      <c r="AW46" s="6">
        <f t="shared" si="78"/>
        <v>0.36891061803263692</v>
      </c>
      <c r="AX46" s="6">
        <f t="shared" si="79"/>
        <v>1.3414931564823163</v>
      </c>
      <c r="AY46" s="6">
        <f t="shared" si="28"/>
        <v>0.19142703434836286</v>
      </c>
      <c r="AZ46" s="6"/>
      <c r="BA46" s="179">
        <f t="shared" si="53"/>
        <v>0.22763141645556026</v>
      </c>
      <c r="BB46" s="179">
        <f t="shared" si="80"/>
        <v>0.17868581111408674</v>
      </c>
      <c r="BC46" s="179">
        <f t="shared" si="81"/>
        <v>0.32156815729251231</v>
      </c>
      <c r="BD46" s="179"/>
      <c r="BE46" s="546">
        <f t="shared" si="31"/>
        <v>1.8135621615147646E-2</v>
      </c>
      <c r="BF46" s="546">
        <f t="shared" si="32"/>
        <v>4.2949670092493626E-2</v>
      </c>
      <c r="BG46" s="546">
        <f t="shared" si="33"/>
        <v>3.9396834466521313E-3</v>
      </c>
      <c r="BH46" s="546">
        <f t="shared" si="34"/>
        <v>2.0707961116465272E-2</v>
      </c>
      <c r="BI46">
        <f t="shared" si="35"/>
        <v>3.48E-3</v>
      </c>
      <c r="BJ46">
        <f t="shared" si="82"/>
        <v>8.9777094896743112E-2</v>
      </c>
      <c r="BK46" s="472">
        <f t="shared" si="54"/>
        <v>89.777094896743108</v>
      </c>
      <c r="BL46" s="179">
        <f t="shared" si="83"/>
        <v>1.3529999999999999E-2</v>
      </c>
      <c r="BM46" s="179">
        <f t="shared" si="84"/>
        <v>2.46E-2</v>
      </c>
      <c r="BN46" s="546"/>
      <c r="BP46" s="472">
        <f t="shared" si="55"/>
        <v>38.129999999999995</v>
      </c>
      <c r="BQ46" s="546">
        <f t="shared" si="39"/>
        <v>1.0363212351512942E-2</v>
      </c>
      <c r="BR46" s="546">
        <f t="shared" si="56"/>
        <v>6.3857238186998165E-3</v>
      </c>
      <c r="BS46" s="546">
        <f t="shared" si="85"/>
        <v>1.0340607978450194E-2</v>
      </c>
      <c r="BT46" s="546">
        <f t="shared" si="41"/>
        <v>1.5683623178948943E-2</v>
      </c>
      <c r="BU46" s="546">
        <f t="shared" si="86"/>
        <v>4.2866065100653786E-2</v>
      </c>
      <c r="BV46" s="656">
        <f t="shared" si="87"/>
        <v>1.4648782460498121E-2</v>
      </c>
      <c r="BW46" s="472">
        <f t="shared" si="57"/>
        <v>57.51484756115191</v>
      </c>
      <c r="BX46" s="179">
        <f t="shared" si="58"/>
        <v>0.18542194245789501</v>
      </c>
      <c r="BY46" s="6">
        <f t="shared" si="59"/>
        <v>2.0663999999999998</v>
      </c>
      <c r="BZ46" s="179">
        <f t="shared" si="60"/>
        <v>0.91765692528268705</v>
      </c>
      <c r="CA46" s="6">
        <f t="shared" si="61"/>
        <v>91.765692528268701</v>
      </c>
      <c r="CB46">
        <f t="shared" si="92"/>
        <v>40.999999999999993</v>
      </c>
      <c r="CD46" s="581">
        <f t="shared" si="88"/>
        <v>-50</v>
      </c>
      <c r="CE46">
        <f t="shared" si="89"/>
        <v>-50</v>
      </c>
    </row>
    <row r="47" spans="5:83" x14ac:dyDescent="0.2">
      <c r="E47" s="176">
        <v>42</v>
      </c>
      <c r="F47" s="223">
        <f t="shared" si="93"/>
        <v>4.6199999999999998E-2</v>
      </c>
      <c r="G47" s="223">
        <f t="shared" si="90"/>
        <v>8.4000000000000005E-2</v>
      </c>
      <c r="H47" s="223">
        <f t="shared" si="65"/>
        <v>1.1088</v>
      </c>
      <c r="I47" s="223">
        <f t="shared" si="94"/>
        <v>1.008</v>
      </c>
      <c r="J47" s="559">
        <f t="shared" si="1"/>
        <v>12</v>
      </c>
      <c r="K47" s="454">
        <f t="shared" si="2"/>
        <v>24.25</v>
      </c>
      <c r="L47" s="454">
        <f t="shared" si="3"/>
        <v>36.25</v>
      </c>
      <c r="M47" s="454"/>
      <c r="N47" s="223">
        <f t="shared" si="4"/>
        <v>0.66896551724137931</v>
      </c>
      <c r="O47" s="178">
        <f t="shared" si="91"/>
        <v>2.8961428571428565</v>
      </c>
      <c r="P47" s="178">
        <f t="shared" si="66"/>
        <v>5.0263636363636364</v>
      </c>
      <c r="Q47" s="223">
        <f t="shared" si="6"/>
        <v>0.12067261904761901</v>
      </c>
      <c r="R47" s="223">
        <f t="shared" si="67"/>
        <v>0.24134523809523803</v>
      </c>
      <c r="S47" s="454">
        <f t="shared" si="68"/>
        <v>24</v>
      </c>
      <c r="T47" s="223">
        <f t="shared" si="69"/>
        <v>0.55513836136733596</v>
      </c>
      <c r="U47" s="223">
        <f t="shared" si="10"/>
        <v>2.1742919153553992</v>
      </c>
      <c r="V47" s="223">
        <f t="shared" si="11"/>
        <v>1.0759382673923623</v>
      </c>
      <c r="W47" s="203">
        <f t="shared" si="12"/>
        <v>350</v>
      </c>
      <c r="X47" s="454">
        <f t="shared" si="48"/>
        <v>307.67051678616644</v>
      </c>
      <c r="Z47" s="223">
        <f t="shared" si="13"/>
        <v>0.48799916151346817</v>
      </c>
      <c r="AA47" s="179">
        <f t="shared" si="14"/>
        <v>0.94581280788177335</v>
      </c>
      <c r="AB47" s="179">
        <f t="shared" si="70"/>
        <v>8.077227500912576E-2</v>
      </c>
      <c r="AC47" s="179"/>
      <c r="AD47" s="179">
        <f t="shared" si="16"/>
        <v>0.56206185567010303</v>
      </c>
      <c r="AE47" s="563">
        <f t="shared" si="71"/>
        <v>566.8783363270677</v>
      </c>
      <c r="AF47" s="546">
        <f t="shared" si="72"/>
        <v>2.8524639175257726E-2</v>
      </c>
      <c r="AH47" s="179">
        <f t="shared" si="73"/>
        <v>0.50730829101017028</v>
      </c>
      <c r="AI47" s="179">
        <f t="shared" si="74"/>
        <v>0.50730829101017028</v>
      </c>
      <c r="AJ47" s="179">
        <f t="shared" si="75"/>
        <v>1.3609691044519781</v>
      </c>
      <c r="AL47" s="563">
        <f t="shared" si="76"/>
        <v>46.199999999999996</v>
      </c>
      <c r="AM47" s="472">
        <f t="shared" si="77"/>
        <v>307.67051678616644</v>
      </c>
      <c r="AO47">
        <f t="shared" si="49"/>
        <v>46.199999999999996</v>
      </c>
      <c r="AP47" s="472">
        <f t="shared" si="24"/>
        <v>307.67051678616644</v>
      </c>
      <c r="AQ47" s="472"/>
      <c r="AR47" s="6">
        <f t="shared" si="50"/>
        <v>3.2502301827477615</v>
      </c>
      <c r="AS47" s="6">
        <f t="shared" si="25"/>
        <v>1.9869574731231667</v>
      </c>
      <c r="AT47" s="6">
        <f t="shared" si="51"/>
        <v>1.2632727096245948</v>
      </c>
      <c r="AU47" s="179">
        <f t="shared" si="52"/>
        <v>0.61132823258794011</v>
      </c>
      <c r="AW47" s="6">
        <f t="shared" si="78"/>
        <v>0.38248931357620963</v>
      </c>
      <c r="AX47" s="6">
        <f t="shared" si="79"/>
        <v>1.3908702311862169</v>
      </c>
      <c r="AY47" s="6">
        <f t="shared" si="28"/>
        <v>0.20478315503388164</v>
      </c>
      <c r="AZ47" s="6"/>
      <c r="BA47" s="179">
        <f t="shared" si="53"/>
        <v>0.22900689545479197</v>
      </c>
      <c r="BB47" s="179">
        <f t="shared" si="80"/>
        <v>0.18260086493965788</v>
      </c>
      <c r="BC47" s="179">
        <f t="shared" si="81"/>
        <v>0.32861380146840102</v>
      </c>
      <c r="BD47" s="179"/>
      <c r="BE47" s="546">
        <f t="shared" si="31"/>
        <v>1.8355455358044705E-2</v>
      </c>
      <c r="BF47" s="546">
        <f t="shared" si="32"/>
        <v>4.2435284230173502E-2</v>
      </c>
      <c r="BG47" s="546">
        <f t="shared" si="33"/>
        <v>3.8458814598270807E-3</v>
      </c>
      <c r="BH47" s="546">
        <f t="shared" si="34"/>
        <v>2.0214914423216095E-2</v>
      </c>
      <c r="BI47">
        <f t="shared" si="35"/>
        <v>3.48E-3</v>
      </c>
      <c r="BJ47">
        <f t="shared" si="82"/>
        <v>8.8896934668779071E-2</v>
      </c>
      <c r="BK47" s="472">
        <f t="shared" si="54"/>
        <v>88.896934668779068</v>
      </c>
      <c r="BL47" s="179">
        <f t="shared" si="83"/>
        <v>1.3859999999999999E-2</v>
      </c>
      <c r="BM47" s="179">
        <f t="shared" si="84"/>
        <v>2.52E-2</v>
      </c>
      <c r="BN47" s="546"/>
      <c r="BP47" s="472">
        <f t="shared" si="55"/>
        <v>39.059999999999995</v>
      </c>
      <c r="BQ47" s="546">
        <f t="shared" si="39"/>
        <v>1.0488831633168404E-2</v>
      </c>
      <c r="BR47" s="546">
        <f t="shared" si="56"/>
        <v>6.6686151753422357E-3</v>
      </c>
      <c r="BS47" s="546">
        <f t="shared" si="85"/>
        <v>1.0798703051551369E-2</v>
      </c>
      <c r="BT47" s="546">
        <f t="shared" si="41"/>
        <v>1.5218246245782647E-2</v>
      </c>
      <c r="BU47" s="546">
        <f t="shared" si="86"/>
        <v>4.3271171734775682E-2</v>
      </c>
      <c r="BV47" s="656">
        <f t="shared" si="87"/>
        <v>1.4648782460498128E-2</v>
      </c>
      <c r="BW47" s="472">
        <f t="shared" si="57"/>
        <v>57.91995419527381</v>
      </c>
      <c r="BX47" s="179">
        <f t="shared" si="58"/>
        <v>0.18587688886405287</v>
      </c>
      <c r="BY47" s="6">
        <f t="shared" si="59"/>
        <v>2.1168</v>
      </c>
      <c r="BZ47" s="179">
        <f t="shared" si="60"/>
        <v>0.91927791095530165</v>
      </c>
      <c r="CA47" s="6">
        <f t="shared" si="61"/>
        <v>91.927791095530168</v>
      </c>
      <c r="CB47">
        <f t="shared" si="92"/>
        <v>42</v>
      </c>
      <c r="CD47" s="581">
        <f t="shared" si="88"/>
        <v>-50</v>
      </c>
      <c r="CE47">
        <f t="shared" si="89"/>
        <v>-50</v>
      </c>
    </row>
    <row r="48" spans="5:83" x14ac:dyDescent="0.2">
      <c r="E48" s="176">
        <v>43</v>
      </c>
      <c r="F48" s="223">
        <f t="shared" si="93"/>
        <v>4.7300000000000002E-2</v>
      </c>
      <c r="G48" s="223">
        <f t="shared" si="90"/>
        <v>8.6000000000000007E-2</v>
      </c>
      <c r="H48" s="223">
        <f t="shared" si="65"/>
        <v>1.1352</v>
      </c>
      <c r="I48" s="223">
        <f t="shared" si="94"/>
        <v>1.032</v>
      </c>
      <c r="J48" s="559">
        <f t="shared" si="1"/>
        <v>12</v>
      </c>
      <c r="K48" s="454">
        <f t="shared" si="2"/>
        <v>24.25</v>
      </c>
      <c r="L48" s="454">
        <f t="shared" si="3"/>
        <v>36.25</v>
      </c>
      <c r="M48" s="454"/>
      <c r="N48" s="223">
        <f t="shared" si="4"/>
        <v>0.66896551724137931</v>
      </c>
      <c r="O48" s="178">
        <f t="shared" si="91"/>
        <v>2.8961428571428565</v>
      </c>
      <c r="P48" s="178">
        <f t="shared" si="66"/>
        <v>5.0263636363636364</v>
      </c>
      <c r="Q48" s="223">
        <f t="shared" si="6"/>
        <v>0.12067261904761901</v>
      </c>
      <c r="R48" s="223">
        <f t="shared" si="67"/>
        <v>0.24134523809523803</v>
      </c>
      <c r="S48" s="454">
        <f t="shared" si="68"/>
        <v>24</v>
      </c>
      <c r="T48" s="223">
        <f t="shared" si="69"/>
        <v>0.56835594139989165</v>
      </c>
      <c r="U48" s="223">
        <f t="shared" si="10"/>
        <v>2.2260607704829085</v>
      </c>
      <c r="V48" s="223">
        <f t="shared" si="11"/>
        <v>1.1015558451874188</v>
      </c>
      <c r="W48" s="203">
        <f t="shared" si="12"/>
        <v>350</v>
      </c>
      <c r="X48" s="454">
        <f t="shared" si="48"/>
        <v>300.51538848881376</v>
      </c>
      <c r="Z48" s="223">
        <f t="shared" si="13"/>
        <v>0.48799916151346817</v>
      </c>
      <c r="AA48" s="179">
        <f t="shared" si="14"/>
        <v>0.94581280788177335</v>
      </c>
      <c r="AB48" s="179">
        <f t="shared" si="70"/>
        <v>8.077227500912576E-2</v>
      </c>
      <c r="AC48" s="179"/>
      <c r="AD48" s="179">
        <f t="shared" si="16"/>
        <v>0.56206185567010303</v>
      </c>
      <c r="AE48" s="563">
        <f t="shared" si="71"/>
        <v>580.3754395729502</v>
      </c>
      <c r="AF48" s="546">
        <f t="shared" si="72"/>
        <v>2.8524639175257726E-2</v>
      </c>
      <c r="AH48" s="179">
        <f t="shared" si="73"/>
        <v>0.51331214840691985</v>
      </c>
      <c r="AI48" s="179">
        <f t="shared" si="74"/>
        <v>0.51331214840691985</v>
      </c>
      <c r="AJ48" s="179">
        <f t="shared" si="75"/>
        <v>1.3654164062273479</v>
      </c>
      <c r="AL48" s="563">
        <f t="shared" si="76"/>
        <v>47.300000000000004</v>
      </c>
      <c r="AM48" s="472">
        <f t="shared" si="77"/>
        <v>300.51538848881376</v>
      </c>
      <c r="AO48">
        <f t="shared" si="49"/>
        <v>47.300000000000004</v>
      </c>
      <c r="AP48" s="472">
        <f t="shared" si="24"/>
        <v>300.51538848881376</v>
      </c>
      <c r="AQ48" s="472"/>
      <c r="AR48" s="6">
        <f t="shared" si="50"/>
        <v>3.3276166156703271</v>
      </c>
      <c r="AS48" s="6">
        <f t="shared" si="25"/>
        <v>2.0104725812604358</v>
      </c>
      <c r="AT48" s="6">
        <f t="shared" si="51"/>
        <v>1.3171440344098913</v>
      </c>
      <c r="AU48" s="179">
        <f t="shared" si="52"/>
        <v>0.60417794880358811</v>
      </c>
      <c r="AW48" s="6">
        <f t="shared" si="78"/>
        <v>0.39623063789007756</v>
      </c>
      <c r="AX48" s="6">
        <f t="shared" si="79"/>
        <v>1.4408386832366458</v>
      </c>
      <c r="AY48" s="6">
        <f t="shared" si="28"/>
        <v>0.21859969413188718</v>
      </c>
      <c r="AZ48" s="6"/>
      <c r="BA48" s="179">
        <f t="shared" si="53"/>
        <v>0.23035802719879203</v>
      </c>
      <c r="BB48" s="179">
        <f t="shared" si="80"/>
        <v>0.18645365788614382</v>
      </c>
      <c r="BC48" s="179">
        <f t="shared" si="81"/>
        <v>0.33554739916430337</v>
      </c>
      <c r="BD48" s="179"/>
      <c r="BE48" s="546">
        <f t="shared" si="31"/>
        <v>1.8572687243221794E-2</v>
      </c>
      <c r="BF48" s="546">
        <f t="shared" si="32"/>
        <v>4.1938948041951189E-2</v>
      </c>
      <c r="BG48" s="546">
        <f t="shared" si="33"/>
        <v>3.7564423561101718E-3</v>
      </c>
      <c r="BH48" s="546">
        <f t="shared" si="34"/>
        <v>1.9744800134304092E-2</v>
      </c>
      <c r="BI48">
        <f t="shared" si="35"/>
        <v>3.48E-3</v>
      </c>
      <c r="BJ48">
        <f t="shared" si="82"/>
        <v>8.8059579575560723E-2</v>
      </c>
      <c r="BK48" s="472">
        <f t="shared" si="54"/>
        <v>88.059579575560718</v>
      </c>
      <c r="BL48" s="179">
        <f t="shared" si="83"/>
        <v>1.4189999999999999E-2</v>
      </c>
      <c r="BM48" s="179">
        <f t="shared" si="84"/>
        <v>2.58E-2</v>
      </c>
      <c r="BN48" s="546"/>
      <c r="BP48" s="472">
        <f t="shared" si="55"/>
        <v>39.989999999999995</v>
      </c>
      <c r="BQ48" s="546">
        <f t="shared" si="39"/>
        <v>1.0612964138983882E-2</v>
      </c>
      <c r="BR48" s="546">
        <f t="shared" si="56"/>
        <v>6.9529933078246332E-3</v>
      </c>
      <c r="BS48" s="546">
        <f t="shared" si="85"/>
        <v>1.1259205708592835E-2</v>
      </c>
      <c r="BT48" s="546">
        <f t="shared" si="41"/>
        <v>1.477714894046314E-2</v>
      </c>
      <c r="BU48" s="546">
        <f t="shared" si="86"/>
        <v>4.3703091996439916E-2</v>
      </c>
      <c r="BV48" s="656">
        <f t="shared" si="87"/>
        <v>1.4648782460498128E-2</v>
      </c>
      <c r="BW48" s="472">
        <f t="shared" si="57"/>
        <v>58.351874456938042</v>
      </c>
      <c r="BX48" s="179">
        <f t="shared" si="58"/>
        <v>0.18640145403249878</v>
      </c>
      <c r="BY48" s="6">
        <f t="shared" si="59"/>
        <v>2.1672000000000002</v>
      </c>
      <c r="BZ48" s="179">
        <f t="shared" si="60"/>
        <v>0.92080160652810128</v>
      </c>
      <c r="CA48" s="6">
        <f t="shared" si="61"/>
        <v>92.080160652810122</v>
      </c>
      <c r="CB48">
        <f t="shared" si="92"/>
        <v>43</v>
      </c>
      <c r="CD48" s="581">
        <f t="shared" si="88"/>
        <v>-50</v>
      </c>
      <c r="CE48">
        <f t="shared" si="89"/>
        <v>-50</v>
      </c>
    </row>
    <row r="49" spans="5:83" x14ac:dyDescent="0.2">
      <c r="E49" s="176">
        <v>44</v>
      </c>
      <c r="F49" s="223">
        <f t="shared" si="93"/>
        <v>4.8399999999999999E-2</v>
      </c>
      <c r="G49" s="223">
        <f t="shared" si="90"/>
        <v>8.8000000000000009E-2</v>
      </c>
      <c r="H49" s="223">
        <f t="shared" si="65"/>
        <v>1.1616</v>
      </c>
      <c r="I49" s="223">
        <f t="shared" si="94"/>
        <v>1.056</v>
      </c>
      <c r="J49" s="559">
        <f t="shared" si="1"/>
        <v>12</v>
      </c>
      <c r="K49" s="454">
        <f t="shared" si="2"/>
        <v>24.25</v>
      </c>
      <c r="L49" s="454">
        <f t="shared" si="3"/>
        <v>36.25</v>
      </c>
      <c r="M49" s="454"/>
      <c r="N49" s="223">
        <f t="shared" si="4"/>
        <v>0.66896551724137931</v>
      </c>
      <c r="O49" s="178">
        <f t="shared" si="91"/>
        <v>2.8961428571428565</v>
      </c>
      <c r="P49" s="178">
        <f t="shared" si="66"/>
        <v>5.0263636363636364</v>
      </c>
      <c r="Q49" s="223">
        <f t="shared" si="6"/>
        <v>0.12067261904761901</v>
      </c>
      <c r="R49" s="223">
        <f t="shared" si="67"/>
        <v>0.24134523809523803</v>
      </c>
      <c r="S49" s="454">
        <f t="shared" si="68"/>
        <v>24</v>
      </c>
      <c r="T49" s="223">
        <f t="shared" si="69"/>
        <v>0.58157352143244712</v>
      </c>
      <c r="U49" s="223">
        <f t="shared" si="10"/>
        <v>2.2778296256104178</v>
      </c>
      <c r="V49" s="223">
        <f t="shared" si="11"/>
        <v>1.1271734229824748</v>
      </c>
      <c r="W49" s="203">
        <f t="shared" si="12"/>
        <v>350</v>
      </c>
      <c r="X49" s="454">
        <f t="shared" si="48"/>
        <v>293.68549329588615</v>
      </c>
      <c r="Z49" s="223">
        <f t="shared" si="13"/>
        <v>0.48799916151346817</v>
      </c>
      <c r="AA49" s="179">
        <f t="shared" si="14"/>
        <v>0.94581280788177335</v>
      </c>
      <c r="AB49" s="179">
        <f t="shared" si="70"/>
        <v>8.077227500912576E-2</v>
      </c>
      <c r="AC49" s="179"/>
      <c r="AD49" s="179">
        <f t="shared" si="16"/>
        <v>0.56206185567010303</v>
      </c>
      <c r="AE49" s="563">
        <f t="shared" si="71"/>
        <v>593.87254281883281</v>
      </c>
      <c r="AF49" s="546">
        <f t="shared" si="72"/>
        <v>2.8524639175257726E-2</v>
      </c>
      <c r="AH49" s="179">
        <f t="shared" si="73"/>
        <v>0.51924659004811557</v>
      </c>
      <c r="AI49" s="179">
        <f t="shared" si="74"/>
        <v>0.51924659004811557</v>
      </c>
      <c r="AJ49" s="179">
        <f t="shared" si="75"/>
        <v>1.3698122889245301</v>
      </c>
      <c r="AL49" s="563">
        <f t="shared" si="76"/>
        <v>48.4</v>
      </c>
      <c r="AM49" s="472">
        <f t="shared" si="77"/>
        <v>293.68549329588615</v>
      </c>
      <c r="AO49">
        <f t="shared" si="49"/>
        <v>48.4</v>
      </c>
      <c r="AP49" s="472">
        <f t="shared" si="24"/>
        <v>293.68549329588615</v>
      </c>
      <c r="AQ49" s="472"/>
      <c r="AR49" s="6">
        <f t="shared" si="50"/>
        <v>3.405003048592893</v>
      </c>
      <c r="AS49" s="6">
        <f t="shared" si="25"/>
        <v>2.0337158110217857</v>
      </c>
      <c r="AT49" s="6">
        <f t="shared" si="51"/>
        <v>1.3712872375711074</v>
      </c>
      <c r="AU49" s="179">
        <f t="shared" si="52"/>
        <v>0.59727283118357632</v>
      </c>
      <c r="AW49" s="6">
        <f t="shared" si="78"/>
        <v>0.41013268855606011</v>
      </c>
      <c r="AX49" s="6">
        <f t="shared" si="79"/>
        <v>1.4913915947493095</v>
      </c>
      <c r="AY49" s="6">
        <f t="shared" si="28"/>
        <v>0.2328782536787424</v>
      </c>
      <c r="AZ49" s="6"/>
      <c r="BA49" s="179">
        <f t="shared" si="53"/>
        <v>0.23168579415029233</v>
      </c>
      <c r="BB49" s="179">
        <f t="shared" si="80"/>
        <v>0.19024729489398867</v>
      </c>
      <c r="BC49" s="179">
        <f t="shared" si="81"/>
        <v>0.34237453812090729</v>
      </c>
      <c r="BD49" s="179"/>
      <c r="BE49" s="546">
        <f t="shared" si="31"/>
        <v>1.8787407523868073E-2</v>
      </c>
      <c r="BF49" s="546">
        <f t="shared" si="32"/>
        <v>4.1459630036945062E-2</v>
      </c>
      <c r="BG49" s="546">
        <f t="shared" si="33"/>
        <v>3.6710686661985768E-3</v>
      </c>
      <c r="BH49" s="546">
        <f t="shared" si="34"/>
        <v>1.9296054676706271E-2</v>
      </c>
      <c r="BI49">
        <f t="shared" si="35"/>
        <v>3.48E-3</v>
      </c>
      <c r="BJ49">
        <f t="shared" si="82"/>
        <v>8.7262223730897592E-2</v>
      </c>
      <c r="BK49" s="472">
        <f t="shared" si="54"/>
        <v>87.262223730897588</v>
      </c>
      <c r="BL49" s="179">
        <f t="shared" si="83"/>
        <v>1.4519999999999998E-2</v>
      </c>
      <c r="BM49" s="179">
        <f t="shared" si="84"/>
        <v>2.6400000000000003E-2</v>
      </c>
      <c r="BN49" s="546"/>
      <c r="BP49" s="472">
        <f t="shared" si="55"/>
        <v>40.919999999999995</v>
      </c>
      <c r="BQ49" s="546">
        <f t="shared" si="39"/>
        <v>1.0735661442210328E-2</v>
      </c>
      <c r="BR49" s="546">
        <f t="shared" si="56"/>
        <v>7.238806642896058E-3</v>
      </c>
      <c r="BS49" s="546">
        <f t="shared" si="85"/>
        <v>1.1722032435350461E-2</v>
      </c>
      <c r="BT49" s="546">
        <f t="shared" si="41"/>
        <v>1.4358543046254503E-2</v>
      </c>
      <c r="BU49" s="546">
        <f t="shared" si="86"/>
        <v>4.415995525745426E-2</v>
      </c>
      <c r="BV49" s="656">
        <f t="shared" si="87"/>
        <v>1.4648782460498128E-2</v>
      </c>
      <c r="BW49" s="472">
        <f t="shared" si="57"/>
        <v>58.80873771795239</v>
      </c>
      <c r="BX49" s="179">
        <f t="shared" si="58"/>
        <v>0.18699096144885</v>
      </c>
      <c r="BY49" s="6">
        <f t="shared" si="59"/>
        <v>2.2176</v>
      </c>
      <c r="BZ49" s="179">
        <f t="shared" si="60"/>
        <v>0.92223585447722822</v>
      </c>
      <c r="CA49" s="6">
        <f t="shared" si="61"/>
        <v>92.223585447722826</v>
      </c>
      <c r="CB49">
        <f t="shared" si="92"/>
        <v>44</v>
      </c>
      <c r="CD49" s="581">
        <f t="shared" si="88"/>
        <v>-50</v>
      </c>
      <c r="CE49">
        <f t="shared" si="89"/>
        <v>-50</v>
      </c>
    </row>
    <row r="50" spans="5:83" x14ac:dyDescent="0.2">
      <c r="E50" s="176">
        <v>45</v>
      </c>
      <c r="F50" s="223">
        <f t="shared" si="93"/>
        <v>4.9500000000000002E-2</v>
      </c>
      <c r="G50" s="223">
        <f t="shared" si="90"/>
        <v>9.0000000000000011E-2</v>
      </c>
      <c r="H50" s="223">
        <f t="shared" si="65"/>
        <v>1.1880000000000002</v>
      </c>
      <c r="I50" s="223">
        <f t="shared" si="94"/>
        <v>1.08</v>
      </c>
      <c r="J50" s="559">
        <f t="shared" si="1"/>
        <v>12</v>
      </c>
      <c r="K50" s="454">
        <f t="shared" si="2"/>
        <v>24.25</v>
      </c>
      <c r="L50" s="454">
        <f t="shared" si="3"/>
        <v>36.25</v>
      </c>
      <c r="M50" s="454"/>
      <c r="N50" s="223">
        <f t="shared" si="4"/>
        <v>0.66896551724137931</v>
      </c>
      <c r="O50" s="178">
        <f t="shared" si="91"/>
        <v>2.8961428571428565</v>
      </c>
      <c r="P50" s="178">
        <f t="shared" si="66"/>
        <v>5.0263636363636364</v>
      </c>
      <c r="Q50" s="223">
        <f t="shared" si="6"/>
        <v>0.12067261904761901</v>
      </c>
      <c r="R50" s="223">
        <f t="shared" si="67"/>
        <v>0.24134523809523803</v>
      </c>
      <c r="S50" s="454">
        <f t="shared" si="68"/>
        <v>24</v>
      </c>
      <c r="T50" s="223">
        <f t="shared" si="69"/>
        <v>0.5947911014650028</v>
      </c>
      <c r="U50" s="223">
        <f t="shared" si="10"/>
        <v>2.3295984807379275</v>
      </c>
      <c r="V50" s="223">
        <f t="shared" si="11"/>
        <v>1.152791000777531</v>
      </c>
      <c r="W50" s="203">
        <f t="shared" si="12"/>
        <v>350</v>
      </c>
      <c r="X50" s="454">
        <f t="shared" si="48"/>
        <v>287.15914900042208</v>
      </c>
      <c r="Z50" s="223">
        <f t="shared" si="13"/>
        <v>0.48799916151346817</v>
      </c>
      <c r="AA50" s="179">
        <f t="shared" si="14"/>
        <v>0.94581280788177335</v>
      </c>
      <c r="AB50" s="179">
        <f t="shared" si="70"/>
        <v>8.077227500912576E-2</v>
      </c>
      <c r="AC50" s="179"/>
      <c r="AD50" s="179">
        <f t="shared" si="16"/>
        <v>0.56206185567010303</v>
      </c>
      <c r="AE50" s="563">
        <f t="shared" si="71"/>
        <v>607.36964606471543</v>
      </c>
      <c r="AF50" s="546">
        <f t="shared" si="72"/>
        <v>2.8524639175257726E-2</v>
      </c>
      <c r="AH50" s="179">
        <f t="shared" si="73"/>
        <v>0.52511396939242039</v>
      </c>
      <c r="AI50" s="179">
        <f t="shared" si="74"/>
        <v>0.52511396939242039</v>
      </c>
      <c r="AJ50" s="179">
        <f t="shared" si="75"/>
        <v>1.3741584958462374</v>
      </c>
      <c r="AL50" s="563">
        <f t="shared" si="76"/>
        <v>49.5</v>
      </c>
      <c r="AM50" s="472">
        <f t="shared" si="77"/>
        <v>287.15914900042208</v>
      </c>
      <c r="AO50">
        <f t="shared" si="49"/>
        <v>49.5</v>
      </c>
      <c r="AP50" s="472">
        <f t="shared" si="24"/>
        <v>287.15914900042208</v>
      </c>
      <c r="AQ50" s="472"/>
      <c r="AR50" s="6">
        <f t="shared" si="50"/>
        <v>3.4823894815154581</v>
      </c>
      <c r="AS50" s="6">
        <f t="shared" si="25"/>
        <v>2.0566963801203131</v>
      </c>
      <c r="AT50" s="6">
        <f t="shared" si="51"/>
        <v>1.425693101395145</v>
      </c>
      <c r="AU50" s="179">
        <f t="shared" si="52"/>
        <v>0.59059918226759767</v>
      </c>
      <c r="AW50" s="6">
        <f t="shared" si="78"/>
        <v>0.42419362839981462</v>
      </c>
      <c r="AX50" s="6">
        <f t="shared" si="79"/>
        <v>1.5425222850902349</v>
      </c>
      <c r="AY50" s="6">
        <f t="shared" si="28"/>
        <v>0.24762038076863044</v>
      </c>
      <c r="AZ50" s="6"/>
      <c r="BA50" s="179">
        <f t="shared" si="53"/>
        <v>0.23299111787453616</v>
      </c>
      <c r="BB50" s="179">
        <f t="shared" si="80"/>
        <v>0.19398461951555665</v>
      </c>
      <c r="BC50" s="179">
        <f t="shared" si="81"/>
        <v>0.34910033567734688</v>
      </c>
      <c r="BD50" s="179"/>
      <c r="BE50" s="546">
        <f t="shared" si="31"/>
        <v>1.8999701352949101E-2</v>
      </c>
      <c r="BF50" s="546">
        <f t="shared" si="32"/>
        <v>4.0996379407405061E-2</v>
      </c>
      <c r="BG50" s="546">
        <f t="shared" si="33"/>
        <v>3.5894893625052758E-3</v>
      </c>
      <c r="BH50" s="546">
        <f t="shared" si="34"/>
        <v>1.8867253461668357E-2</v>
      </c>
      <c r="BI50">
        <f t="shared" si="35"/>
        <v>3.48E-3</v>
      </c>
      <c r="BJ50">
        <f t="shared" si="82"/>
        <v>8.6502302541950404E-2</v>
      </c>
      <c r="BK50" s="472">
        <f t="shared" si="54"/>
        <v>86.502302541950399</v>
      </c>
      <c r="BL50" s="179">
        <f t="shared" si="83"/>
        <v>1.485E-2</v>
      </c>
      <c r="BM50" s="179">
        <f t="shared" si="84"/>
        <v>2.7000000000000003E-2</v>
      </c>
      <c r="BN50" s="546"/>
      <c r="BP50" s="472">
        <f t="shared" si="55"/>
        <v>41.850000000000009</v>
      </c>
      <c r="BQ50" s="546">
        <f t="shared" si="39"/>
        <v>1.0856972201685203E-2</v>
      </c>
      <c r="BR50" s="546">
        <f t="shared" si="56"/>
        <v>7.526006521719056E-3</v>
      </c>
      <c r="BS50" s="546">
        <f t="shared" si="85"/>
        <v>1.2187104437003628E-2</v>
      </c>
      <c r="BT50" s="546">
        <f t="shared" si="41"/>
        <v>1.3960808756225865E-2</v>
      </c>
      <c r="BU50" s="546">
        <f t="shared" si="86"/>
        <v>4.4640063954022584E-2</v>
      </c>
      <c r="BV50" s="656">
        <f t="shared" si="87"/>
        <v>1.4648782460498125E-2</v>
      </c>
      <c r="BW50" s="472">
        <f t="shared" si="57"/>
        <v>59.288846414520705</v>
      </c>
      <c r="BX50" s="179">
        <f t="shared" si="58"/>
        <v>0.1876411489564711</v>
      </c>
      <c r="BY50" s="6">
        <f t="shared" si="59"/>
        <v>2.2680000000000002</v>
      </c>
      <c r="BZ50" s="179">
        <f t="shared" si="60"/>
        <v>0.9235877159672905</v>
      </c>
      <c r="CA50" s="6">
        <f t="shared" si="61"/>
        <v>92.358771596729056</v>
      </c>
      <c r="CB50">
        <f t="shared" si="92"/>
        <v>45</v>
      </c>
      <c r="CD50" s="581">
        <f t="shared" si="88"/>
        <v>-50</v>
      </c>
      <c r="CE50">
        <f t="shared" si="89"/>
        <v>-50</v>
      </c>
    </row>
    <row r="51" spans="5:83" x14ac:dyDescent="0.2">
      <c r="E51" s="176">
        <v>46</v>
      </c>
      <c r="F51" s="223">
        <f t="shared" si="93"/>
        <v>5.0599999999999999E-2</v>
      </c>
      <c r="G51" s="223">
        <f t="shared" si="90"/>
        <v>9.2000000000000012E-2</v>
      </c>
      <c r="H51" s="223">
        <f t="shared" si="65"/>
        <v>1.2143999999999999</v>
      </c>
      <c r="I51" s="223">
        <f t="shared" si="94"/>
        <v>1.1040000000000001</v>
      </c>
      <c r="J51" s="559">
        <f t="shared" si="1"/>
        <v>12</v>
      </c>
      <c r="K51" s="454">
        <f t="shared" si="2"/>
        <v>24.25</v>
      </c>
      <c r="L51" s="454">
        <f t="shared" si="3"/>
        <v>36.25</v>
      </c>
      <c r="M51" s="454"/>
      <c r="N51" s="223">
        <f t="shared" si="4"/>
        <v>0.66896551724137931</v>
      </c>
      <c r="O51" s="178">
        <f t="shared" si="91"/>
        <v>2.8961428571428565</v>
      </c>
      <c r="P51" s="178">
        <f t="shared" si="66"/>
        <v>5.0263636363636364</v>
      </c>
      <c r="Q51" s="223">
        <f t="shared" si="6"/>
        <v>0.12067261904761901</v>
      </c>
      <c r="R51" s="223">
        <f t="shared" si="67"/>
        <v>0.24134523809523803</v>
      </c>
      <c r="S51" s="454">
        <f t="shared" si="68"/>
        <v>24</v>
      </c>
      <c r="T51" s="223">
        <f t="shared" si="69"/>
        <v>0.60800868149755838</v>
      </c>
      <c r="U51" s="223">
        <f t="shared" si="10"/>
        <v>2.3813673358654368</v>
      </c>
      <c r="V51" s="223">
        <f t="shared" si="11"/>
        <v>1.1784085785725873</v>
      </c>
      <c r="W51" s="203">
        <f t="shared" si="12"/>
        <v>350</v>
      </c>
      <c r="X51" s="454">
        <f t="shared" si="48"/>
        <v>280.91655880476071</v>
      </c>
      <c r="Z51" s="223">
        <f t="shared" si="13"/>
        <v>0.48799916151346817</v>
      </c>
      <c r="AA51" s="179">
        <f t="shared" si="14"/>
        <v>0.94581280788177335</v>
      </c>
      <c r="AB51" s="179">
        <f t="shared" si="70"/>
        <v>8.077227500912576E-2</v>
      </c>
      <c r="AC51" s="179"/>
      <c r="AD51" s="179">
        <f t="shared" si="16"/>
        <v>0.56206185567010303</v>
      </c>
      <c r="AE51" s="563">
        <f t="shared" si="71"/>
        <v>620.86674931059792</v>
      </c>
      <c r="AF51" s="546">
        <f t="shared" si="72"/>
        <v>2.8524639175257726E-2</v>
      </c>
      <c r="AH51" s="179">
        <f t="shared" si="73"/>
        <v>0.53091650984456296</v>
      </c>
      <c r="AI51" s="179">
        <f t="shared" si="74"/>
        <v>0.53091650984456296</v>
      </c>
      <c r="AJ51" s="179">
        <f t="shared" si="75"/>
        <v>1.3784566739589355</v>
      </c>
      <c r="AL51" s="563">
        <f t="shared" si="76"/>
        <v>50.6</v>
      </c>
      <c r="AM51" s="472">
        <f t="shared" si="77"/>
        <v>280.91655880476071</v>
      </c>
      <c r="AO51">
        <f t="shared" si="49"/>
        <v>50.6</v>
      </c>
      <c r="AP51" s="472">
        <f t="shared" si="24"/>
        <v>280.91655880476071</v>
      </c>
      <c r="AQ51" s="472"/>
      <c r="AR51" s="6">
        <f t="shared" si="50"/>
        <v>3.5597759144380237</v>
      </c>
      <c r="AS51" s="6">
        <f t="shared" si="25"/>
        <v>2.0794229968912048</v>
      </c>
      <c r="AT51" s="6">
        <f t="shared" si="51"/>
        <v>1.4803529175468189</v>
      </c>
      <c r="AU51" s="179">
        <f t="shared" si="52"/>
        <v>0.58414435258615993</v>
      </c>
      <c r="AW51" s="6">
        <f t="shared" si="78"/>
        <v>0.43841168184456236</v>
      </c>
      <c r="AX51" s="6">
        <f t="shared" si="79"/>
        <v>1.5942242976165903</v>
      </c>
      <c r="AY51" s="6">
        <f t="shared" si="28"/>
        <v>0.26282757062410184</v>
      </c>
      <c r="AZ51" s="6"/>
      <c r="BA51" s="179">
        <f t="shared" si="53"/>
        <v>0.2342748640733914</v>
      </c>
      <c r="BB51" s="179">
        <f t="shared" si="80"/>
        <v>0.19766824447013392</v>
      </c>
      <c r="BC51" s="179">
        <f t="shared" si="81"/>
        <v>0.35572949375886809</v>
      </c>
      <c r="BD51" s="179"/>
      <c r="BE51" s="546">
        <f t="shared" si="31"/>
        <v>1.9209649177812104E-2</v>
      </c>
      <c r="BF51" s="546">
        <f t="shared" si="32"/>
        <v>4.0548318091752057E-2</v>
      </c>
      <c r="BG51" s="546">
        <f t="shared" si="33"/>
        <v>3.5114569850595084E-3</v>
      </c>
      <c r="BH51" s="546">
        <f t="shared" si="34"/>
        <v>1.8457095777719045E-2</v>
      </c>
      <c r="BI51">
        <f t="shared" si="35"/>
        <v>3.48E-3</v>
      </c>
      <c r="BJ51">
        <f t="shared" si="82"/>
        <v>8.577746715767369E-2</v>
      </c>
      <c r="BK51" s="472">
        <f t="shared" si="54"/>
        <v>85.777467157673684</v>
      </c>
      <c r="BL51" s="179">
        <f t="shared" si="83"/>
        <v>1.5179999999999999E-2</v>
      </c>
      <c r="BM51" s="179">
        <f t="shared" si="84"/>
        <v>2.7600000000000003E-2</v>
      </c>
      <c r="BN51" s="546"/>
      <c r="BP51" s="472">
        <f t="shared" si="55"/>
        <v>42.78</v>
      </c>
      <c r="BQ51" s="546">
        <f t="shared" si="39"/>
        <v>1.0976942387321205E-2</v>
      </c>
      <c r="BR51" s="546">
        <f t="shared" si="56"/>
        <v>7.814546974380927E-3</v>
      </c>
      <c r="BS51" s="546">
        <f t="shared" si="85"/>
        <v>1.2654347272994058E-2</v>
      </c>
      <c r="BT51" s="546">
        <f t="shared" si="41"/>
        <v>1.3582475505900991E-2</v>
      </c>
      <c r="BU51" s="546">
        <f t="shared" si="86"/>
        <v>4.514187406036408E-2</v>
      </c>
      <c r="BV51" s="656">
        <f t="shared" si="87"/>
        <v>1.4648782460498125E-2</v>
      </c>
      <c r="BW51" s="472">
        <f t="shared" si="57"/>
        <v>59.790656520862207</v>
      </c>
      <c r="BX51" s="179">
        <f t="shared" si="58"/>
        <v>0.18834812367853587</v>
      </c>
      <c r="BY51" s="6">
        <f t="shared" si="59"/>
        <v>2.3184</v>
      </c>
      <c r="BZ51" s="179">
        <f t="shared" si="60"/>
        <v>0.9248635625177436</v>
      </c>
      <c r="CA51" s="6">
        <f t="shared" si="61"/>
        <v>92.486356251774353</v>
      </c>
      <c r="CB51">
        <f t="shared" si="92"/>
        <v>46</v>
      </c>
      <c r="CD51" s="581">
        <f t="shared" si="88"/>
        <v>-50</v>
      </c>
      <c r="CE51">
        <f t="shared" si="89"/>
        <v>-50</v>
      </c>
    </row>
    <row r="52" spans="5:83" x14ac:dyDescent="0.2">
      <c r="E52" s="176">
        <v>47</v>
      </c>
      <c r="F52" s="223">
        <f t="shared" si="93"/>
        <v>5.1699999999999996E-2</v>
      </c>
      <c r="G52" s="223">
        <f t="shared" si="90"/>
        <v>9.4E-2</v>
      </c>
      <c r="H52" s="223">
        <f t="shared" si="65"/>
        <v>1.2407999999999999</v>
      </c>
      <c r="I52" s="223">
        <f t="shared" si="94"/>
        <v>1.1280000000000001</v>
      </c>
      <c r="J52" s="559">
        <f t="shared" si="1"/>
        <v>12</v>
      </c>
      <c r="K52" s="454">
        <f t="shared" si="2"/>
        <v>24.25</v>
      </c>
      <c r="L52" s="454">
        <f t="shared" si="3"/>
        <v>36.25</v>
      </c>
      <c r="M52" s="454"/>
      <c r="N52" s="223">
        <f t="shared" si="4"/>
        <v>0.66896551724137931</v>
      </c>
      <c r="O52" s="178">
        <f t="shared" si="91"/>
        <v>2.8961428571428565</v>
      </c>
      <c r="P52" s="178">
        <f t="shared" si="66"/>
        <v>5.0263636363636364</v>
      </c>
      <c r="Q52" s="223">
        <f t="shared" si="6"/>
        <v>0.12067261904761901</v>
      </c>
      <c r="R52" s="223">
        <f t="shared" si="67"/>
        <v>0.24134523809523803</v>
      </c>
      <c r="S52" s="454">
        <f t="shared" si="68"/>
        <v>24</v>
      </c>
      <c r="T52" s="223">
        <f t="shared" si="69"/>
        <v>0.62122626153011407</v>
      </c>
      <c r="U52" s="223">
        <f t="shared" si="10"/>
        <v>2.4331361909929465</v>
      </c>
      <c r="V52" s="223">
        <f t="shared" si="11"/>
        <v>1.2040261563676438</v>
      </c>
      <c r="W52" s="203">
        <f t="shared" si="12"/>
        <v>350</v>
      </c>
      <c r="X52" s="454">
        <f t="shared" si="48"/>
        <v>274.93961074508496</v>
      </c>
      <c r="Z52" s="223">
        <f t="shared" si="13"/>
        <v>0.48799916151346817</v>
      </c>
      <c r="AA52" s="179">
        <f t="shared" si="14"/>
        <v>0.94581280788177335</v>
      </c>
      <c r="AB52" s="179">
        <f t="shared" si="70"/>
        <v>8.077227500912576E-2</v>
      </c>
      <c r="AC52" s="179"/>
      <c r="AD52" s="179">
        <f t="shared" si="16"/>
        <v>0.56206185567010303</v>
      </c>
      <c r="AE52" s="563">
        <f t="shared" si="71"/>
        <v>634.36385255648042</v>
      </c>
      <c r="AF52" s="546">
        <f t="shared" si="72"/>
        <v>2.8524639175257726E-2</v>
      </c>
      <c r="AH52" s="179">
        <f t="shared" si="73"/>
        <v>0.53665631459994956</v>
      </c>
      <c r="AI52" s="179">
        <f t="shared" si="74"/>
        <v>0.53665631459994956</v>
      </c>
      <c r="AJ52" s="179">
        <f t="shared" si="75"/>
        <v>1.3827083811851477</v>
      </c>
      <c r="AL52" s="563">
        <f t="shared" si="76"/>
        <v>51.699999999999996</v>
      </c>
      <c r="AM52" s="472">
        <f t="shared" si="77"/>
        <v>274.93961074508496</v>
      </c>
      <c r="AO52">
        <f t="shared" si="49"/>
        <v>51.699999999999996</v>
      </c>
      <c r="AP52" s="472">
        <f t="shared" si="24"/>
        <v>274.93961074508496</v>
      </c>
      <c r="AQ52" s="472"/>
      <c r="AR52" s="6">
        <f t="shared" si="50"/>
        <v>3.6371623473605896</v>
      </c>
      <c r="AS52" s="6">
        <f t="shared" si="25"/>
        <v>2.1019038988498022</v>
      </c>
      <c r="AT52" s="6">
        <f t="shared" si="51"/>
        <v>1.5352584485107874</v>
      </c>
      <c r="AU52" s="179">
        <f t="shared" si="52"/>
        <v>0.57789663977334105</v>
      </c>
      <c r="AW52" s="6">
        <f t="shared" si="78"/>
        <v>0.45278513154389483</v>
      </c>
      <c r="AX52" s="6">
        <f t="shared" si="79"/>
        <v>1.6464913874323452</v>
      </c>
      <c r="AY52" s="6">
        <f t="shared" si="28"/>
        <v>0.27850126943160597</v>
      </c>
      <c r="AZ52" s="6"/>
      <c r="BA52" s="179">
        <f t="shared" si="53"/>
        <v>0.23553784710368894</v>
      </c>
      <c r="BB52" s="179">
        <f t="shared" si="80"/>
        <v>0.20130057769852341</v>
      </c>
      <c r="BC52" s="179">
        <f t="shared" si="81"/>
        <v>0.36226634576543176</v>
      </c>
      <c r="BD52" s="179"/>
      <c r="BE52" s="546">
        <f t="shared" si="31"/>
        <v>1.941732709638426E-2</v>
      </c>
      <c r="BF52" s="546">
        <f t="shared" si="32"/>
        <v>4.0114633771500534E-2</v>
      </c>
      <c r="BG52" s="546">
        <f t="shared" si="33"/>
        <v>3.4367451343135617E-3</v>
      </c>
      <c r="BH52" s="546">
        <f t="shared" si="34"/>
        <v>1.8064391612235664E-2</v>
      </c>
      <c r="BI52">
        <f t="shared" si="35"/>
        <v>3.48E-3</v>
      </c>
      <c r="BJ52">
        <f t="shared" si="82"/>
        <v>8.5085562111511193E-2</v>
      </c>
      <c r="BK52" s="472">
        <f t="shared" si="54"/>
        <v>85.085562111511194</v>
      </c>
      <c r="BL52" s="179">
        <f t="shared" si="83"/>
        <v>1.5509999999999998E-2</v>
      </c>
      <c r="BM52" s="179">
        <f t="shared" si="84"/>
        <v>2.8199999999999999E-2</v>
      </c>
      <c r="BN52" s="546"/>
      <c r="BP52" s="472">
        <f t="shared" si="55"/>
        <v>43.71</v>
      </c>
      <c r="BQ52" s="546">
        <f t="shared" si="39"/>
        <v>1.1095615483648151E-2</v>
      </c>
      <c r="BR52" s="546">
        <f t="shared" si="56"/>
        <v>8.1043845163518528E-3</v>
      </c>
      <c r="BS52" s="546">
        <f t="shared" si="85"/>
        <v>1.3123690527423938E-2</v>
      </c>
      <c r="BT52" s="546">
        <f t="shared" si="41"/>
        <v>1.3222205347811013E-2</v>
      </c>
      <c r="BU52" s="546">
        <f t="shared" si="86"/>
        <v>4.566397813904436E-2</v>
      </c>
      <c r="BV52" s="656">
        <f t="shared" si="87"/>
        <v>1.4648782460498128E-2</v>
      </c>
      <c r="BW52" s="472">
        <f t="shared" si="57"/>
        <v>60.312760599542493</v>
      </c>
      <c r="BX52" s="179">
        <f t="shared" si="58"/>
        <v>0.18910832271105368</v>
      </c>
      <c r="BY52" s="6">
        <f t="shared" si="59"/>
        <v>2.3688000000000002</v>
      </c>
      <c r="BZ52" s="179">
        <f t="shared" si="60"/>
        <v>0.92606915539857071</v>
      </c>
      <c r="CA52" s="6">
        <f t="shared" si="61"/>
        <v>92.60691553985707</v>
      </c>
      <c r="CB52">
        <f t="shared" si="92"/>
        <v>47</v>
      </c>
      <c r="CD52" s="581">
        <f t="shared" si="88"/>
        <v>-50</v>
      </c>
      <c r="CE52">
        <f t="shared" si="89"/>
        <v>-50</v>
      </c>
    </row>
    <row r="53" spans="5:83" x14ac:dyDescent="0.2">
      <c r="E53" s="176">
        <v>48</v>
      </c>
      <c r="F53" s="223">
        <f t="shared" si="93"/>
        <v>5.28E-2</v>
      </c>
      <c r="G53" s="223">
        <f t="shared" si="90"/>
        <v>9.6000000000000002E-2</v>
      </c>
      <c r="H53" s="223">
        <f t="shared" si="65"/>
        <v>1.2671999999999999</v>
      </c>
      <c r="I53" s="223">
        <f t="shared" si="94"/>
        <v>1.1520000000000001</v>
      </c>
      <c r="J53" s="559">
        <f t="shared" si="1"/>
        <v>12</v>
      </c>
      <c r="K53" s="454">
        <f t="shared" si="2"/>
        <v>24.25</v>
      </c>
      <c r="L53" s="454">
        <f t="shared" si="3"/>
        <v>36.25</v>
      </c>
      <c r="M53" s="454"/>
      <c r="N53" s="223">
        <f t="shared" si="4"/>
        <v>0.66896551724137931</v>
      </c>
      <c r="O53" s="178">
        <f t="shared" si="91"/>
        <v>2.8961428571428565</v>
      </c>
      <c r="P53" s="178">
        <f t="shared" si="66"/>
        <v>5.0263636363636364</v>
      </c>
      <c r="Q53" s="223">
        <f t="shared" si="6"/>
        <v>0.12067261904761901</v>
      </c>
      <c r="R53" s="223">
        <f t="shared" si="67"/>
        <v>0.24134523809523803</v>
      </c>
      <c r="S53" s="454">
        <f t="shared" si="68"/>
        <v>24</v>
      </c>
      <c r="T53" s="223">
        <f t="shared" si="69"/>
        <v>0.63444384156266964</v>
      </c>
      <c r="U53" s="223">
        <f t="shared" si="10"/>
        <v>2.4849050461204558</v>
      </c>
      <c r="V53" s="223">
        <f t="shared" si="11"/>
        <v>1.2296437341626998</v>
      </c>
      <c r="W53" s="203">
        <f t="shared" si="12"/>
        <v>350</v>
      </c>
      <c r="X53" s="454">
        <f t="shared" si="48"/>
        <v>269.2117021878957</v>
      </c>
      <c r="Z53" s="223">
        <f t="shared" si="13"/>
        <v>0.48799916151346817</v>
      </c>
      <c r="AA53" s="179">
        <f t="shared" si="14"/>
        <v>0.94581280788177335</v>
      </c>
      <c r="AB53" s="179">
        <f t="shared" si="70"/>
        <v>8.077227500912576E-2</v>
      </c>
      <c r="AC53" s="179"/>
      <c r="AD53" s="179">
        <f t="shared" si="16"/>
        <v>0.56206185567010303</v>
      </c>
      <c r="AE53" s="563">
        <f t="shared" si="71"/>
        <v>647.86095580236315</v>
      </c>
      <c r="AF53" s="546">
        <f t="shared" si="72"/>
        <v>2.8524639175257726E-2</v>
      </c>
      <c r="AH53" s="179">
        <f t="shared" si="73"/>
        <v>0.54233537555139077</v>
      </c>
      <c r="AI53" s="179">
        <f t="shared" si="74"/>
        <v>0.54233537555139077</v>
      </c>
      <c r="AJ53" s="179">
        <f t="shared" si="75"/>
        <v>1.3869150930010301</v>
      </c>
      <c r="AL53" s="563">
        <f t="shared" si="76"/>
        <v>52.8</v>
      </c>
      <c r="AM53" s="472">
        <f t="shared" si="77"/>
        <v>269.2117021878957</v>
      </c>
      <c r="AO53">
        <f t="shared" si="49"/>
        <v>52.8</v>
      </c>
      <c r="AP53" s="472">
        <f t="shared" si="24"/>
        <v>269.2117021878957</v>
      </c>
      <c r="AQ53" s="472"/>
      <c r="AR53" s="6">
        <f t="shared" si="50"/>
        <v>3.7145487802831552</v>
      </c>
      <c r="AS53" s="6">
        <f t="shared" si="25"/>
        <v>2.1241468875762801</v>
      </c>
      <c r="AT53" s="6">
        <f t="shared" si="51"/>
        <v>1.590401892706875</v>
      </c>
      <c r="AU53" s="179">
        <f t="shared" si="52"/>
        <v>0.5718451993015311</v>
      </c>
      <c r="AW53" s="6">
        <f t="shared" si="78"/>
        <v>0.46731231526678157</v>
      </c>
      <c r="AX53" s="6">
        <f t="shared" si="79"/>
        <v>1.6993175100610241</v>
      </c>
      <c r="AY53" s="6">
        <f t="shared" si="28"/>
        <v>0.29464287696464209</v>
      </c>
      <c r="AZ53" s="6"/>
      <c r="BA53" s="179">
        <f t="shared" si="53"/>
        <v>0.23678083404240766</v>
      </c>
      <c r="BB53" s="179">
        <f t="shared" si="80"/>
        <v>0.20488384470638762</v>
      </c>
      <c r="BC53" s="179">
        <f t="shared" si="81"/>
        <v>0.3687148967814397</v>
      </c>
      <c r="BD53" s="179"/>
      <c r="BE53" s="546">
        <f t="shared" si="31"/>
        <v>1.9622807179436368E-2</v>
      </c>
      <c r="BF53" s="546">
        <f t="shared" si="32"/>
        <v>3.9694573674920117E-2</v>
      </c>
      <c r="BG53" s="546">
        <f t="shared" si="33"/>
        <v>3.3651462773486964E-3</v>
      </c>
      <c r="BH53" s="546">
        <f t="shared" si="34"/>
        <v>1.7688050120314085E-2</v>
      </c>
      <c r="BI53">
        <f t="shared" si="35"/>
        <v>3.48E-3</v>
      </c>
      <c r="BJ53">
        <f t="shared" si="82"/>
        <v>8.4424605700464325E-2</v>
      </c>
      <c r="BK53" s="472">
        <f t="shared" si="54"/>
        <v>84.424605700464326</v>
      </c>
      <c r="BL53" s="179">
        <f t="shared" si="83"/>
        <v>1.584E-2</v>
      </c>
      <c r="BM53" s="179">
        <f t="shared" si="84"/>
        <v>2.8799999999999999E-2</v>
      </c>
      <c r="BN53" s="546"/>
      <c r="BP53" s="472">
        <f t="shared" si="55"/>
        <v>44.64</v>
      </c>
      <c r="BQ53" s="546">
        <f t="shared" si="39"/>
        <v>1.121303267396364E-2</v>
      </c>
      <c r="BR53" s="546">
        <f t="shared" si="56"/>
        <v>8.3954779643342324E-3</v>
      </c>
      <c r="BS53" s="546">
        <f t="shared" si="85"/>
        <v>1.3595067510854776E-2</v>
      </c>
      <c r="BT53" s="546">
        <f t="shared" si="41"/>
        <v>1.2878778485045851E-2</v>
      </c>
      <c r="BU53" s="546">
        <f t="shared" si="86"/>
        <v>4.6205090581078301E-2</v>
      </c>
      <c r="BV53" s="656">
        <f t="shared" si="87"/>
        <v>1.4648782460498127E-2</v>
      </c>
      <c r="BW53" s="472">
        <f t="shared" si="57"/>
        <v>60.853873041576428</v>
      </c>
      <c r="BX53" s="179">
        <f t="shared" si="58"/>
        <v>0.18991847874204076</v>
      </c>
      <c r="BY53" s="6">
        <f t="shared" si="59"/>
        <v>2.4192</v>
      </c>
      <c r="BZ53" s="179">
        <f t="shared" si="60"/>
        <v>0.92720971458773771</v>
      </c>
      <c r="CA53" s="6">
        <f t="shared" si="61"/>
        <v>92.720971458773775</v>
      </c>
      <c r="CB53">
        <f t="shared" si="92"/>
        <v>48</v>
      </c>
      <c r="CD53" s="581">
        <f t="shared" si="88"/>
        <v>-50</v>
      </c>
      <c r="CE53">
        <f t="shared" si="89"/>
        <v>-50</v>
      </c>
    </row>
    <row r="54" spans="5:83" x14ac:dyDescent="0.2">
      <c r="E54" s="176">
        <v>49</v>
      </c>
      <c r="F54" s="223">
        <f t="shared" si="93"/>
        <v>5.3899999999999997E-2</v>
      </c>
      <c r="G54" s="223">
        <f t="shared" si="90"/>
        <v>9.8000000000000004E-2</v>
      </c>
      <c r="H54" s="223">
        <f t="shared" si="65"/>
        <v>1.2935999999999999</v>
      </c>
      <c r="I54" s="223">
        <f t="shared" si="94"/>
        <v>1.1760000000000002</v>
      </c>
      <c r="J54" s="559">
        <f t="shared" si="1"/>
        <v>12</v>
      </c>
      <c r="K54" s="454">
        <f t="shared" si="2"/>
        <v>24.25</v>
      </c>
      <c r="L54" s="454">
        <f t="shared" si="3"/>
        <v>36.25</v>
      </c>
      <c r="M54" s="454"/>
      <c r="N54" s="223">
        <f t="shared" si="4"/>
        <v>0.66896551724137931</v>
      </c>
      <c r="O54" s="178">
        <f t="shared" si="91"/>
        <v>2.8961428571428565</v>
      </c>
      <c r="P54" s="178">
        <f t="shared" si="66"/>
        <v>5.0263636363636364</v>
      </c>
      <c r="Q54" s="223">
        <f t="shared" si="6"/>
        <v>0.12067261904761901</v>
      </c>
      <c r="R54" s="223">
        <f t="shared" si="67"/>
        <v>0.24134523809523803</v>
      </c>
      <c r="S54" s="454">
        <f t="shared" si="68"/>
        <v>24</v>
      </c>
      <c r="T54" s="223">
        <f t="shared" si="69"/>
        <v>0.64766142159522522</v>
      </c>
      <c r="U54" s="223">
        <f t="shared" si="10"/>
        <v>2.5366739012479655</v>
      </c>
      <c r="V54" s="223">
        <f t="shared" si="11"/>
        <v>1.255261311957756</v>
      </c>
      <c r="W54" s="203">
        <f t="shared" si="12"/>
        <v>350</v>
      </c>
      <c r="X54" s="454">
        <f t="shared" si="48"/>
        <v>263.71758581671412</v>
      </c>
      <c r="Z54" s="223">
        <f t="shared" si="13"/>
        <v>0.48799916151346817</v>
      </c>
      <c r="AA54" s="179">
        <f t="shared" si="14"/>
        <v>0.94581280788177335</v>
      </c>
      <c r="AB54" s="179">
        <f t="shared" si="70"/>
        <v>8.077227500912576E-2</v>
      </c>
      <c r="AC54" s="179"/>
      <c r="AD54" s="179">
        <f t="shared" si="16"/>
        <v>0.56206185567010303</v>
      </c>
      <c r="AE54" s="563">
        <f t="shared" si="71"/>
        <v>661.35805904824554</v>
      </c>
      <c r="AF54" s="546">
        <f t="shared" si="72"/>
        <v>2.8524639175257726E-2</v>
      </c>
      <c r="AH54" s="179">
        <f t="shared" si="73"/>
        <v>0.54795558136489142</v>
      </c>
      <c r="AI54" s="179">
        <f t="shared" si="74"/>
        <v>0.54795558136489142</v>
      </c>
      <c r="AJ54" s="179">
        <f t="shared" si="75"/>
        <v>1.3910782084184381</v>
      </c>
      <c r="AL54" s="563">
        <f t="shared" si="76"/>
        <v>53.9</v>
      </c>
      <c r="AM54" s="472">
        <f t="shared" si="77"/>
        <v>263.71758581671412</v>
      </c>
      <c r="AO54">
        <f t="shared" si="49"/>
        <v>53.9</v>
      </c>
      <c r="AP54" s="472">
        <f t="shared" si="24"/>
        <v>263.71758581671412</v>
      </c>
      <c r="AQ54" s="472"/>
      <c r="AR54" s="6">
        <f t="shared" si="50"/>
        <v>3.7919352132057216</v>
      </c>
      <c r="AS54" s="6">
        <f t="shared" si="25"/>
        <v>2.1461593603458242</v>
      </c>
      <c r="AT54" s="6">
        <f t="shared" si="51"/>
        <v>1.6457758528598974</v>
      </c>
      <c r="AU54" s="179">
        <f t="shared" si="52"/>
        <v>0.56597996528834416</v>
      </c>
      <c r="AW54" s="6">
        <f t="shared" si="78"/>
        <v>0.48199162301099963</v>
      </c>
      <c r="AX54" s="6">
        <f t="shared" si="79"/>
        <v>1.7526968109490899</v>
      </c>
      <c r="AY54" s="6">
        <f t="shared" si="28"/>
        <v>0.31125374901455594</v>
      </c>
      <c r="AZ54" s="6"/>
      <c r="BA54" s="179">
        <f t="shared" si="53"/>
        <v>0.23800454835258616</v>
      </c>
      <c r="BB54" s="179">
        <f t="shared" si="80"/>
        <v>0.20842010782662065</v>
      </c>
      <c r="BC54" s="179">
        <f t="shared" si="81"/>
        <v>0.37507885824085724</v>
      </c>
      <c r="BD54" s="179"/>
      <c r="BE54" s="546">
        <f t="shared" si="31"/>
        <v>1.9826157762781481E-2</v>
      </c>
      <c r="BF54" s="546">
        <f t="shared" si="32"/>
        <v>3.9287439079855817E-2</v>
      </c>
      <c r="BG54" s="546">
        <f t="shared" si="33"/>
        <v>3.2964698227089264E-3</v>
      </c>
      <c r="BH54" s="546">
        <f t="shared" si="34"/>
        <v>1.7327069505613798E-2</v>
      </c>
      <c r="BI54">
        <f t="shared" si="35"/>
        <v>3.48E-3</v>
      </c>
      <c r="BJ54">
        <f t="shared" si="82"/>
        <v>8.3792772716339892E-2</v>
      </c>
      <c r="BK54" s="472">
        <f t="shared" si="54"/>
        <v>83.792772716339897</v>
      </c>
      <c r="BL54" s="179">
        <f t="shared" si="83"/>
        <v>1.6169999999999997E-2</v>
      </c>
      <c r="BM54" s="179">
        <f t="shared" si="84"/>
        <v>2.9399999999999999E-2</v>
      </c>
      <c r="BN54" s="546"/>
      <c r="BP54" s="472">
        <f t="shared" si="55"/>
        <v>45.57</v>
      </c>
      <c r="BQ54" s="546">
        <f t="shared" si="39"/>
        <v>1.1329233007303706E-2</v>
      </c>
      <c r="BR54" s="546">
        <f t="shared" si="56"/>
        <v>8.6877882692920367E-3</v>
      </c>
      <c r="BS54" s="546">
        <f t="shared" si="85"/>
        <v>1.406841498992651E-2</v>
      </c>
      <c r="BT54" s="546">
        <f t="shared" si="41"/>
        <v>1.2551080645197235E-2</v>
      </c>
      <c r="BU54" s="546">
        <f t="shared" si="86"/>
        <v>4.6764034713703433E-2</v>
      </c>
      <c r="BV54" s="656">
        <f t="shared" si="87"/>
        <v>1.4648782460498125E-2</v>
      </c>
      <c r="BW54" s="472">
        <f t="shared" si="57"/>
        <v>61.412817174201557</v>
      </c>
      <c r="BX54" s="179">
        <f t="shared" si="58"/>
        <v>0.19077558989054144</v>
      </c>
      <c r="BY54" s="6">
        <f t="shared" si="59"/>
        <v>2.4695999999999998</v>
      </c>
      <c r="BZ54" s="179">
        <f t="shared" si="60"/>
        <v>0.92828997882273057</v>
      </c>
      <c r="CA54" s="6">
        <f t="shared" si="61"/>
        <v>92.828997882273057</v>
      </c>
      <c r="CB54">
        <f t="shared" si="92"/>
        <v>49</v>
      </c>
      <c r="CD54" s="581">
        <f t="shared" si="88"/>
        <v>-50</v>
      </c>
      <c r="CE54">
        <f t="shared" si="89"/>
        <v>-50</v>
      </c>
    </row>
    <row r="55" spans="5:83" x14ac:dyDescent="0.2">
      <c r="E55" s="176">
        <v>50</v>
      </c>
      <c r="F55" s="223">
        <f t="shared" si="93"/>
        <v>5.5E-2</v>
      </c>
      <c r="G55" s="223">
        <f t="shared" si="90"/>
        <v>0.1</v>
      </c>
      <c r="H55" s="223">
        <f t="shared" si="65"/>
        <v>1.32</v>
      </c>
      <c r="I55" s="223">
        <f t="shared" si="94"/>
        <v>1.2000000000000002</v>
      </c>
      <c r="J55" s="559">
        <f t="shared" si="1"/>
        <v>12</v>
      </c>
      <c r="K55" s="454">
        <f t="shared" si="2"/>
        <v>24.25</v>
      </c>
      <c r="L55" s="454">
        <f t="shared" si="3"/>
        <v>36.25</v>
      </c>
      <c r="M55" s="454"/>
      <c r="N55" s="223">
        <f t="shared" si="4"/>
        <v>0.66896551724137931</v>
      </c>
      <c r="O55" s="178">
        <f t="shared" si="91"/>
        <v>2.8961428571428565</v>
      </c>
      <c r="P55" s="178">
        <f t="shared" si="66"/>
        <v>5.0263636363636364</v>
      </c>
      <c r="Q55" s="223">
        <f t="shared" si="6"/>
        <v>0.12067261904761901</v>
      </c>
      <c r="R55" s="223">
        <f t="shared" si="67"/>
        <v>0.24134523809523803</v>
      </c>
      <c r="S55" s="454">
        <f t="shared" si="68"/>
        <v>24</v>
      </c>
      <c r="T55" s="223">
        <f t="shared" si="69"/>
        <v>0.66087900162778102</v>
      </c>
      <c r="U55" s="223">
        <f t="shared" si="10"/>
        <v>2.5884427563754753</v>
      </c>
      <c r="V55" s="223">
        <f t="shared" si="11"/>
        <v>1.2808788897528127</v>
      </c>
      <c r="W55" s="203">
        <f t="shared" si="12"/>
        <v>350</v>
      </c>
      <c r="X55" s="454">
        <f t="shared" si="48"/>
        <v>258.44323410037975</v>
      </c>
      <c r="Z55" s="223">
        <f t="shared" si="13"/>
        <v>0.48799916151346817</v>
      </c>
      <c r="AA55" s="179">
        <f t="shared" si="14"/>
        <v>0.94581280788177335</v>
      </c>
      <c r="AB55" s="179">
        <f t="shared" si="70"/>
        <v>8.077227500912576E-2</v>
      </c>
      <c r="AC55" s="179"/>
      <c r="AD55" s="179">
        <f t="shared" si="16"/>
        <v>0.56206185567010303</v>
      </c>
      <c r="AE55" s="563">
        <f t="shared" si="71"/>
        <v>674.85516229412826</v>
      </c>
      <c r="AF55" s="546">
        <f t="shared" si="72"/>
        <v>2.8524639175257726E-2</v>
      </c>
      <c r="AH55" s="179">
        <f t="shared" si="73"/>
        <v>0.55351872481733111</v>
      </c>
      <c r="AI55" s="179">
        <f t="shared" si="74"/>
        <v>0.55351872481733111</v>
      </c>
      <c r="AJ55" s="179">
        <f t="shared" si="75"/>
        <v>1.3951990554202451</v>
      </c>
      <c r="AL55" s="563">
        <f t="shared" si="76"/>
        <v>55</v>
      </c>
      <c r="AM55" s="472">
        <f t="shared" si="77"/>
        <v>258.44323410037975</v>
      </c>
      <c r="AO55">
        <f t="shared" si="49"/>
        <v>55</v>
      </c>
      <c r="AP55" s="472">
        <f t="shared" si="24"/>
        <v>258.44323410037975</v>
      </c>
      <c r="AQ55" s="472"/>
      <c r="AR55" s="6">
        <f t="shared" si="50"/>
        <v>3.8693216461282884</v>
      </c>
      <c r="AS55" s="6">
        <f t="shared" si="25"/>
        <v>2.16794833886788</v>
      </c>
      <c r="AT55" s="6">
        <f t="shared" si="51"/>
        <v>1.7013733072604085</v>
      </c>
      <c r="AU55" s="179">
        <f t="shared" si="52"/>
        <v>0.56029158005956092</v>
      </c>
      <c r="AW55" s="6">
        <f t="shared" si="78"/>
        <v>0.49682149432388917</v>
      </c>
      <c r="AX55" s="6">
        <f t="shared" si="79"/>
        <v>1.8066236157232334</v>
      </c>
      <c r="AY55" s="6">
        <f t="shared" si="28"/>
        <v>0.32833519964674551</v>
      </c>
      <c r="AZ55" s="6"/>
      <c r="BA55" s="179">
        <f t="shared" si="53"/>
        <v>0.23920967319647357</v>
      </c>
      <c r="BB55" s="179">
        <f t="shared" si="80"/>
        <v>0.21191128290797645</v>
      </c>
      <c r="BC55" s="179">
        <f t="shared" si="81"/>
        <v>0.38136167796055132</v>
      </c>
      <c r="BD55" s="179"/>
      <c r="BE55" s="546">
        <f t="shared" si="31"/>
        <v>2.0027443712767289E-2</v>
      </c>
      <c r="BF55" s="546">
        <f t="shared" si="32"/>
        <v>3.8892580424347185E-2</v>
      </c>
      <c r="BG55" s="546">
        <f t="shared" si="33"/>
        <v>3.2305404262547468E-3</v>
      </c>
      <c r="BH55" s="546">
        <f t="shared" si="34"/>
        <v>1.6980528115501516E-2</v>
      </c>
      <c r="BI55">
        <f t="shared" si="35"/>
        <v>3.48E-3</v>
      </c>
      <c r="BJ55">
        <f t="shared" si="82"/>
        <v>8.3188379205566945E-2</v>
      </c>
      <c r="BK55" s="472">
        <f t="shared" si="54"/>
        <v>83.188379205566946</v>
      </c>
      <c r="BL55" s="179">
        <f t="shared" si="83"/>
        <v>1.6500000000000001E-2</v>
      </c>
      <c r="BM55" s="179">
        <f t="shared" si="84"/>
        <v>0.03</v>
      </c>
      <c r="BN55" s="546"/>
      <c r="BP55" s="472">
        <f t="shared" si="55"/>
        <v>46.5</v>
      </c>
      <c r="BQ55" s="546">
        <f t="shared" si="39"/>
        <v>1.1444253550152737E-2</v>
      </c>
      <c r="BR55" s="546">
        <f t="shared" si="56"/>
        <v>8.9812783647408873E-3</v>
      </c>
      <c r="BS55" s="546">
        <f t="shared" si="85"/>
        <v>1.4543672941688728E-2</v>
      </c>
      <c r="BT55" s="546">
        <f t="shared" si="41"/>
        <v>1.2238092028521969E-2</v>
      </c>
      <c r="BU55" s="546">
        <f t="shared" si="86"/>
        <v>4.7339731506617154E-2</v>
      </c>
      <c r="BV55" s="656">
        <f t="shared" si="87"/>
        <v>1.4648782460498123E-2</v>
      </c>
      <c r="BW55" s="472">
        <f t="shared" si="57"/>
        <v>61.988513967115281</v>
      </c>
      <c r="BX55" s="179">
        <f t="shared" si="58"/>
        <v>0.19167689317268222</v>
      </c>
      <c r="BY55" s="6">
        <f t="shared" si="59"/>
        <v>2.5200000000000005</v>
      </c>
      <c r="BZ55" s="179">
        <f t="shared" si="60"/>
        <v>0.92931425803152423</v>
      </c>
      <c r="CA55" s="6">
        <f t="shared" si="61"/>
        <v>92.931425803152422</v>
      </c>
      <c r="CB55">
        <f t="shared" si="92"/>
        <v>50</v>
      </c>
      <c r="CD55" s="581">
        <f t="shared" si="88"/>
        <v>-50</v>
      </c>
      <c r="CE55">
        <f t="shared" si="89"/>
        <v>-50</v>
      </c>
    </row>
    <row r="56" spans="5:83" x14ac:dyDescent="0.2">
      <c r="E56" s="176">
        <v>51</v>
      </c>
      <c r="F56" s="223">
        <f t="shared" si="93"/>
        <v>5.6100000000000004E-2</v>
      </c>
      <c r="G56" s="223">
        <f t="shared" si="90"/>
        <v>0.10200000000000001</v>
      </c>
      <c r="H56" s="223">
        <f t="shared" si="65"/>
        <v>1.3464</v>
      </c>
      <c r="I56" s="223">
        <f t="shared" si="94"/>
        <v>1.2240000000000002</v>
      </c>
      <c r="J56" s="559">
        <f t="shared" si="1"/>
        <v>12</v>
      </c>
      <c r="K56" s="454">
        <f t="shared" si="2"/>
        <v>24.25</v>
      </c>
      <c r="L56" s="454">
        <f t="shared" si="3"/>
        <v>36.25</v>
      </c>
      <c r="M56" s="454"/>
      <c r="N56" s="223">
        <f t="shared" si="4"/>
        <v>0.66896551724137931</v>
      </c>
      <c r="O56" s="178">
        <f t="shared" si="91"/>
        <v>2.8961428571428565</v>
      </c>
      <c r="P56" s="178">
        <f t="shared" si="66"/>
        <v>5.0263636363636364</v>
      </c>
      <c r="Q56" s="223">
        <f t="shared" si="6"/>
        <v>0.12067261904761901</v>
      </c>
      <c r="R56" s="223">
        <f t="shared" si="67"/>
        <v>0.24134523809523803</v>
      </c>
      <c r="S56" s="454">
        <f t="shared" si="68"/>
        <v>24</v>
      </c>
      <c r="T56" s="223">
        <f t="shared" si="69"/>
        <v>0.67409658166033659</v>
      </c>
      <c r="U56" s="223">
        <f t="shared" si="10"/>
        <v>2.640211611502985</v>
      </c>
      <c r="V56" s="223">
        <f t="shared" si="11"/>
        <v>1.3064964675478687</v>
      </c>
      <c r="W56" s="203">
        <f t="shared" si="12"/>
        <v>350</v>
      </c>
      <c r="X56" s="454">
        <f t="shared" si="48"/>
        <v>253.37571970625467</v>
      </c>
      <c r="Z56" s="223">
        <f t="shared" si="13"/>
        <v>0.48799916151346817</v>
      </c>
      <c r="AA56" s="179">
        <f t="shared" si="14"/>
        <v>0.94581280788177335</v>
      </c>
      <c r="AB56" s="179">
        <f t="shared" si="70"/>
        <v>8.077227500912576E-2</v>
      </c>
      <c r="AC56" s="179"/>
      <c r="AD56" s="179">
        <f t="shared" si="16"/>
        <v>0.56206185567010303</v>
      </c>
      <c r="AE56" s="563">
        <f t="shared" si="71"/>
        <v>688.35226554001076</v>
      </c>
      <c r="AF56" s="546">
        <f t="shared" si="72"/>
        <v>2.8524639175257726E-2</v>
      </c>
      <c r="AH56" s="179">
        <f t="shared" si="73"/>
        <v>0.55902650947685151</v>
      </c>
      <c r="AI56" s="179">
        <f t="shared" si="74"/>
        <v>0.55902650947685151</v>
      </c>
      <c r="AJ56" s="179">
        <f t="shared" si="75"/>
        <v>1.399278895908779</v>
      </c>
      <c r="AL56" s="563">
        <f t="shared" si="76"/>
        <v>56.1</v>
      </c>
      <c r="AM56" s="472">
        <f t="shared" si="77"/>
        <v>253.37571970625467</v>
      </c>
      <c r="AO56">
        <f t="shared" si="49"/>
        <v>56.1</v>
      </c>
      <c r="AP56" s="472">
        <f t="shared" si="24"/>
        <v>253.37571970625467</v>
      </c>
      <c r="AQ56" s="472"/>
      <c r="AR56" s="6">
        <f t="shared" si="50"/>
        <v>3.9467080790508535</v>
      </c>
      <c r="AS56" s="6">
        <f t="shared" si="25"/>
        <v>2.1895204954510019</v>
      </c>
      <c r="AT56" s="6">
        <f t="shared" si="51"/>
        <v>1.7571875835998516</v>
      </c>
      <c r="AU56" s="179">
        <f t="shared" si="52"/>
        <v>0.55477133134649304</v>
      </c>
      <c r="AW56" s="6">
        <f t="shared" si="78"/>
        <v>0.51180041581167179</v>
      </c>
      <c r="AX56" s="6">
        <f t="shared" si="79"/>
        <v>1.8610924211333519</v>
      </c>
      <c r="AY56" s="6">
        <f t="shared" si="28"/>
        <v>0.34588850329807608</v>
      </c>
      <c r="AZ56" s="6"/>
      <c r="BA56" s="179">
        <f t="shared" si="53"/>
        <v>0.2403968544361961</v>
      </c>
      <c r="BB56" s="179">
        <f t="shared" si="80"/>
        <v>0.21535915384106569</v>
      </c>
      <c r="BC56" s="179">
        <f t="shared" si="81"/>
        <v>0.38756656628169528</v>
      </c>
      <c r="BD56" s="179"/>
      <c r="BE56" s="546">
        <f t="shared" si="31"/>
        <v>2.0226726667986181E-2</v>
      </c>
      <c r="BF56" s="546">
        <f t="shared" si="32"/>
        <v>3.8509392947190059E-2</v>
      </c>
      <c r="BG56" s="546">
        <f t="shared" si="33"/>
        <v>3.1671964963281831E-3</v>
      </c>
      <c r="BH56" s="546">
        <f t="shared" si="34"/>
        <v>1.6647576583825013E-2</v>
      </c>
      <c r="BI56">
        <f t="shared" si="35"/>
        <v>3.48E-3</v>
      </c>
      <c r="BJ56">
        <f t="shared" si="82"/>
        <v>8.2609868983995458E-2</v>
      </c>
      <c r="BK56" s="472">
        <f t="shared" si="54"/>
        <v>82.609868983995455</v>
      </c>
      <c r="BL56" s="179">
        <f t="shared" si="83"/>
        <v>1.6830000000000001E-2</v>
      </c>
      <c r="BM56" s="179">
        <f t="shared" si="84"/>
        <v>3.0600000000000002E-2</v>
      </c>
      <c r="BN56" s="546"/>
      <c r="BP56" s="472">
        <f t="shared" si="55"/>
        <v>47.43</v>
      </c>
      <c r="BQ56" s="546">
        <f t="shared" si="39"/>
        <v>1.1558129524563532E-2</v>
      </c>
      <c r="BR56" s="546">
        <f t="shared" si="56"/>
        <v>9.2759130286279596E-3</v>
      </c>
      <c r="BS56" s="546">
        <f t="shared" si="85"/>
        <v>1.5020784329938371E-2</v>
      </c>
      <c r="BT56" s="546">
        <f t="shared" si="41"/>
        <v>1.1938877607102513E-2</v>
      </c>
      <c r="BU56" s="546">
        <f t="shared" si="86"/>
        <v>4.793118965081096E-2</v>
      </c>
      <c r="BV56" s="656">
        <f t="shared" si="87"/>
        <v>1.4648782460498121E-2</v>
      </c>
      <c r="BW56" s="472">
        <f t="shared" si="57"/>
        <v>62.579972111309083</v>
      </c>
      <c r="BX56" s="179">
        <f t="shared" si="58"/>
        <v>0.1926198410953045</v>
      </c>
      <c r="BY56" s="6">
        <f t="shared" si="59"/>
        <v>2.5704000000000002</v>
      </c>
      <c r="BZ56" s="179">
        <f t="shared" si="60"/>
        <v>0.93028647922450425</v>
      </c>
      <c r="CA56" s="6">
        <f t="shared" si="61"/>
        <v>93.028647922450432</v>
      </c>
      <c r="CB56">
        <f t="shared" si="92"/>
        <v>51</v>
      </c>
      <c r="CD56" s="581">
        <f t="shared" si="88"/>
        <v>-50</v>
      </c>
      <c r="CE56">
        <f t="shared" si="89"/>
        <v>-50</v>
      </c>
    </row>
    <row r="57" spans="5:83" x14ac:dyDescent="0.2">
      <c r="E57" s="176">
        <v>52</v>
      </c>
      <c r="F57" s="223">
        <f t="shared" si="93"/>
        <v>5.7200000000000001E-2</v>
      </c>
      <c r="G57" s="223">
        <f t="shared" si="90"/>
        <v>0.10400000000000001</v>
      </c>
      <c r="H57" s="223">
        <f t="shared" si="65"/>
        <v>1.3728</v>
      </c>
      <c r="I57" s="223">
        <f t="shared" si="94"/>
        <v>1.2480000000000002</v>
      </c>
      <c r="J57" s="559">
        <f t="shared" si="1"/>
        <v>12</v>
      </c>
      <c r="K57" s="454">
        <f t="shared" si="2"/>
        <v>24.25</v>
      </c>
      <c r="L57" s="454">
        <f t="shared" si="3"/>
        <v>36.25</v>
      </c>
      <c r="M57" s="454"/>
      <c r="N57" s="223">
        <f t="shared" si="4"/>
        <v>0.66896551724137931</v>
      </c>
      <c r="O57" s="178">
        <f t="shared" si="91"/>
        <v>2.8961428571428565</v>
      </c>
      <c r="P57" s="178">
        <f t="shared" si="66"/>
        <v>5.0263636363636364</v>
      </c>
      <c r="Q57" s="223">
        <f t="shared" si="6"/>
        <v>0.12067261904761901</v>
      </c>
      <c r="R57" s="223">
        <f t="shared" si="67"/>
        <v>0.24134523809523803</v>
      </c>
      <c r="S57" s="454">
        <f t="shared" si="68"/>
        <v>24</v>
      </c>
      <c r="T57" s="223">
        <f t="shared" si="69"/>
        <v>0.68731416169289206</v>
      </c>
      <c r="U57" s="223">
        <f t="shared" si="10"/>
        <v>2.6919804666304938</v>
      </c>
      <c r="V57" s="223">
        <f t="shared" si="11"/>
        <v>1.3321140453429248</v>
      </c>
      <c r="W57" s="203">
        <f t="shared" si="12"/>
        <v>350</v>
      </c>
      <c r="X57" s="454">
        <f t="shared" si="48"/>
        <v>248.50310971190373</v>
      </c>
      <c r="Z57" s="223">
        <f t="shared" si="13"/>
        <v>0.48799916151346817</v>
      </c>
      <c r="AA57" s="179">
        <f t="shared" si="14"/>
        <v>0.94581280788177335</v>
      </c>
      <c r="AB57" s="179">
        <f t="shared" si="70"/>
        <v>8.077227500912576E-2</v>
      </c>
      <c r="AC57" s="179"/>
      <c r="AD57" s="179">
        <f t="shared" si="16"/>
        <v>0.56206185567010303</v>
      </c>
      <c r="AE57" s="563">
        <f t="shared" si="71"/>
        <v>701.84936878589326</v>
      </c>
      <c r="AF57" s="546">
        <f t="shared" si="72"/>
        <v>2.8524639175257726E-2</v>
      </c>
      <c r="AH57" s="179">
        <f t="shared" si="73"/>
        <v>0.56448055579651324</v>
      </c>
      <c r="AI57" s="179">
        <f t="shared" si="74"/>
        <v>0.56448055579651324</v>
      </c>
      <c r="AJ57" s="179">
        <f t="shared" si="75"/>
        <v>1.4033189302196394</v>
      </c>
      <c r="AL57" s="563">
        <f t="shared" si="76"/>
        <v>57.2</v>
      </c>
      <c r="AM57" s="472">
        <f t="shared" si="77"/>
        <v>248.50310971190373</v>
      </c>
      <c r="AO57">
        <f t="shared" si="49"/>
        <v>57.2</v>
      </c>
      <c r="AP57" s="472">
        <f t="shared" si="24"/>
        <v>248.50310971190373</v>
      </c>
      <c r="AQ57" s="472"/>
      <c r="AR57" s="6">
        <f t="shared" si="50"/>
        <v>4.0240945119734182</v>
      </c>
      <c r="AS57" s="6">
        <f t="shared" si="25"/>
        <v>2.2108821768696765</v>
      </c>
      <c r="AT57" s="6">
        <f t="shared" si="51"/>
        <v>1.8132123351037417</v>
      </c>
      <c r="AU57" s="179">
        <f t="shared" si="52"/>
        <v>0.54941109615873773</v>
      </c>
      <c r="AW57" s="6">
        <f t="shared" si="78"/>
        <v>0.52692691882060627</v>
      </c>
      <c r="AX57" s="6">
        <f t="shared" si="79"/>
        <v>1.9160978866203866</v>
      </c>
      <c r="AY57" s="6">
        <f t="shared" si="28"/>
        <v>0.36391489672959304</v>
      </c>
      <c r="AZ57" s="6"/>
      <c r="BA57" s="179">
        <f t="shared" si="53"/>
        <v>0.24156670335692443</v>
      </c>
      <c r="BB57" s="179">
        <f t="shared" si="80"/>
        <v>0.21876538525716197</v>
      </c>
      <c r="BC57" s="179">
        <f t="shared" si="81"/>
        <v>0.39369651892290747</v>
      </c>
      <c r="BD57" s="179"/>
      <c r="BE57" s="546">
        <f t="shared" si="31"/>
        <v>2.0424065259756312E-2</v>
      </c>
      <c r="BF57" s="546">
        <f t="shared" si="32"/>
        <v>3.8137312791869833E-2</v>
      </c>
      <c r="BG57" s="546">
        <f t="shared" si="33"/>
        <v>3.1062888713987965E-3</v>
      </c>
      <c r="BH57" s="546">
        <f t="shared" si="34"/>
        <v>1.6327430880289925E-2</v>
      </c>
      <c r="BI57">
        <f t="shared" si="35"/>
        <v>3.48E-3</v>
      </c>
      <c r="BJ57">
        <f t="shared" si="82"/>
        <v>8.2055801674565693E-2</v>
      </c>
      <c r="BK57" s="472">
        <f t="shared" si="54"/>
        <v>82.055801674565686</v>
      </c>
      <c r="BL57" s="179">
        <f t="shared" si="83"/>
        <v>1.7159999999999998E-2</v>
      </c>
      <c r="BM57" s="179">
        <f t="shared" si="84"/>
        <v>3.1200000000000002E-2</v>
      </c>
      <c r="BN57" s="546"/>
      <c r="BP57" s="472">
        <f t="shared" si="55"/>
        <v>48.36</v>
      </c>
      <c r="BQ57" s="546">
        <f t="shared" si="39"/>
        <v>1.1670894434146465E-2</v>
      </c>
      <c r="BR57" s="546">
        <f t="shared" si="56"/>
        <v>9.5716587573429004E-3</v>
      </c>
      <c r="BS57" s="546">
        <f t="shared" si="85"/>
        <v>1.5499694901201524E-2</v>
      </c>
      <c r="BT57" s="546">
        <f t="shared" si="41"/>
        <v>1.1652578587108555E-2</v>
      </c>
      <c r="BU57" s="546">
        <f t="shared" si="86"/>
        <v>4.8537496819795536E-2</v>
      </c>
      <c r="BV57" s="656">
        <f t="shared" si="87"/>
        <v>1.4648782460498132E-2</v>
      </c>
      <c r="BW57" s="472">
        <f t="shared" si="57"/>
        <v>63.186279280293661</v>
      </c>
      <c r="BX57" s="179">
        <f t="shared" si="58"/>
        <v>0.19360208095485934</v>
      </c>
      <c r="BY57" s="6">
        <f t="shared" si="59"/>
        <v>2.6208</v>
      </c>
      <c r="BZ57" s="179">
        <f t="shared" si="60"/>
        <v>0.93121022676007437</v>
      </c>
      <c r="CA57" s="6">
        <f t="shared" si="61"/>
        <v>93.121022676007442</v>
      </c>
      <c r="CB57">
        <f t="shared" si="92"/>
        <v>52</v>
      </c>
      <c r="CD57" s="581">
        <f t="shared" si="88"/>
        <v>-50</v>
      </c>
      <c r="CE57">
        <f t="shared" si="89"/>
        <v>-50</v>
      </c>
    </row>
    <row r="58" spans="5:83" x14ac:dyDescent="0.2">
      <c r="E58" s="176">
        <v>53</v>
      </c>
      <c r="F58" s="223">
        <f t="shared" si="93"/>
        <v>5.8300000000000005E-2</v>
      </c>
      <c r="G58" s="223">
        <f t="shared" si="90"/>
        <v>0.10600000000000001</v>
      </c>
      <c r="H58" s="223">
        <f t="shared" si="65"/>
        <v>1.3992</v>
      </c>
      <c r="I58" s="223">
        <f t="shared" si="94"/>
        <v>1.2720000000000002</v>
      </c>
      <c r="J58" s="559">
        <f t="shared" si="1"/>
        <v>12</v>
      </c>
      <c r="K58" s="454">
        <f t="shared" si="2"/>
        <v>24.25</v>
      </c>
      <c r="L58" s="454">
        <f t="shared" si="3"/>
        <v>36.25</v>
      </c>
      <c r="M58" s="454"/>
      <c r="N58" s="223">
        <f t="shared" si="4"/>
        <v>0.66896551724137931</v>
      </c>
      <c r="O58" s="178">
        <f t="shared" si="91"/>
        <v>2.8961428571428565</v>
      </c>
      <c r="P58" s="178">
        <f t="shared" si="66"/>
        <v>5.0263636363636364</v>
      </c>
      <c r="Q58" s="223">
        <f t="shared" si="6"/>
        <v>0.12067261904761901</v>
      </c>
      <c r="R58" s="223">
        <f t="shared" si="67"/>
        <v>0.24134523809523803</v>
      </c>
      <c r="S58" s="454">
        <f t="shared" si="68"/>
        <v>24</v>
      </c>
      <c r="T58" s="223">
        <f t="shared" si="69"/>
        <v>0.70053174172544774</v>
      </c>
      <c r="U58" s="223">
        <f t="shared" si="10"/>
        <v>2.7437493217580036</v>
      </c>
      <c r="V58" s="223">
        <f t="shared" si="11"/>
        <v>1.357731623137981</v>
      </c>
      <c r="W58" s="203">
        <f t="shared" si="12"/>
        <v>350</v>
      </c>
      <c r="X58" s="454">
        <f t="shared" si="48"/>
        <v>243.81437179281119</v>
      </c>
      <c r="Z58" s="223">
        <f t="shared" si="13"/>
        <v>0.48799916151346817</v>
      </c>
      <c r="AA58" s="179">
        <f t="shared" si="14"/>
        <v>0.94581280788177335</v>
      </c>
      <c r="AB58" s="179">
        <f t="shared" si="70"/>
        <v>8.077227500912576E-2</v>
      </c>
      <c r="AC58" s="179"/>
      <c r="AD58" s="179">
        <f t="shared" si="16"/>
        <v>0.56206185567010303</v>
      </c>
      <c r="AE58" s="563">
        <f t="shared" si="71"/>
        <v>715.34647203177599</v>
      </c>
      <c r="AF58" s="546">
        <f t="shared" si="72"/>
        <v>2.8524639175257726E-2</v>
      </c>
      <c r="AH58" s="179">
        <f t="shared" si="73"/>
        <v>0.56988240668300028</v>
      </c>
      <c r="AI58" s="179">
        <f t="shared" si="74"/>
        <v>0.56988240668300028</v>
      </c>
      <c r="AJ58" s="179">
        <f t="shared" si="75"/>
        <v>1.4073203012466668</v>
      </c>
      <c r="AL58" s="563">
        <f t="shared" si="76"/>
        <v>58.300000000000004</v>
      </c>
      <c r="AM58" s="472">
        <f t="shared" si="77"/>
        <v>243.81437179281119</v>
      </c>
      <c r="AO58">
        <f t="shared" si="49"/>
        <v>58.300000000000004</v>
      </c>
      <c r="AP58" s="472">
        <f t="shared" si="24"/>
        <v>243.81437179281119</v>
      </c>
      <c r="AQ58" s="472"/>
      <c r="AR58" s="6">
        <f t="shared" si="50"/>
        <v>4.1014809448959841</v>
      </c>
      <c r="AS58" s="6">
        <f t="shared" si="25"/>
        <v>2.2320394261750844</v>
      </c>
      <c r="AT58" s="6">
        <f t="shared" si="51"/>
        <v>1.8694415187208997</v>
      </c>
      <c r="AU58" s="179">
        <f t="shared" si="52"/>
        <v>0.54420329050966498</v>
      </c>
      <c r="AW58" s="6">
        <f t="shared" si="78"/>
        <v>0.54219957727503099</v>
      </c>
      <c r="AX58" s="6">
        <f t="shared" si="79"/>
        <v>1.9716348264546582</v>
      </c>
      <c r="AY58" s="6">
        <f t="shared" si="28"/>
        <v>0.3824155808471173</v>
      </c>
      <c r="AZ58" s="6"/>
      <c r="BA58" s="179">
        <f t="shared" si="53"/>
        <v>0.24271979914301389</v>
      </c>
      <c r="BB58" s="179">
        <f t="shared" si="80"/>
        <v>0.222131533675233</v>
      </c>
      <c r="BC58" s="179">
        <f t="shared" si="81"/>
        <v>0.39975433704077185</v>
      </c>
      <c r="BD58" s="179"/>
      <c r="BE58" s="546">
        <f t="shared" si="31"/>
        <v>2.0619515313608752E-2</v>
      </c>
      <c r="BF58" s="546">
        <f t="shared" si="32"/>
        <v>3.7775813516761313E-2</v>
      </c>
      <c r="BG58" s="546">
        <f t="shared" si="33"/>
        <v>3.0476796474101396E-3</v>
      </c>
      <c r="BH58" s="546">
        <f t="shared" si="34"/>
        <v>1.6019366146699549E-2</v>
      </c>
      <c r="BI58">
        <f t="shared" si="35"/>
        <v>3.48E-3</v>
      </c>
      <c r="BJ58">
        <f t="shared" si="82"/>
        <v>8.1524842070253969E-2</v>
      </c>
      <c r="BK58" s="472">
        <f t="shared" si="54"/>
        <v>81.524842070253968</v>
      </c>
      <c r="BL58" s="179">
        <f t="shared" si="83"/>
        <v>1.7490000000000002E-2</v>
      </c>
      <c r="BM58" s="179">
        <f t="shared" si="84"/>
        <v>3.1800000000000002E-2</v>
      </c>
      <c r="BN58" s="546"/>
      <c r="BP58" s="472">
        <f t="shared" si="55"/>
        <v>49.29</v>
      </c>
      <c r="BQ58" s="546">
        <f t="shared" si="39"/>
        <v>1.1782580179205002E-2</v>
      </c>
      <c r="BR58" s="546">
        <f t="shared" si="56"/>
        <v>9.8684836505822347E-3</v>
      </c>
      <c r="BS58" s="546">
        <f t="shared" si="85"/>
        <v>1.59803529982907E-2</v>
      </c>
      <c r="BT58" s="546">
        <f t="shared" si="41"/>
        <v>1.1378404875441325E-2</v>
      </c>
      <c r="BU58" s="546">
        <f t="shared" si="86"/>
        <v>4.9157811952474456E-2</v>
      </c>
      <c r="BV58" s="656">
        <f t="shared" si="87"/>
        <v>1.4648782460498127E-2</v>
      </c>
      <c r="BW58" s="472">
        <f t="shared" si="57"/>
        <v>63.806594412972579</v>
      </c>
      <c r="BX58" s="179">
        <f t="shared" si="58"/>
        <v>0.19462143648322658</v>
      </c>
      <c r="BY58" s="6">
        <f t="shared" si="59"/>
        <v>2.6712000000000002</v>
      </c>
      <c r="BZ58" s="179">
        <f t="shared" si="60"/>
        <v>0.93208877775649035</v>
      </c>
      <c r="CA58" s="6">
        <f t="shared" si="61"/>
        <v>93.208877775649029</v>
      </c>
      <c r="CB58">
        <f t="shared" si="92"/>
        <v>53</v>
      </c>
      <c r="CD58" s="581">
        <f t="shared" si="88"/>
        <v>-50</v>
      </c>
      <c r="CE58">
        <f t="shared" si="89"/>
        <v>-50</v>
      </c>
    </row>
    <row r="59" spans="5:83" x14ac:dyDescent="0.2">
      <c r="E59" s="176">
        <v>54</v>
      </c>
      <c r="F59" s="223">
        <f t="shared" si="93"/>
        <v>5.9400000000000001E-2</v>
      </c>
      <c r="G59" s="223">
        <f t="shared" si="90"/>
        <v>0.10800000000000001</v>
      </c>
      <c r="H59" s="223">
        <f t="shared" si="65"/>
        <v>1.4256</v>
      </c>
      <c r="I59" s="223">
        <f t="shared" si="94"/>
        <v>1.2960000000000003</v>
      </c>
      <c r="J59" s="559">
        <f t="shared" si="1"/>
        <v>12</v>
      </c>
      <c r="K59" s="454">
        <f t="shared" si="2"/>
        <v>24.25</v>
      </c>
      <c r="L59" s="454">
        <f t="shared" si="3"/>
        <v>36.25</v>
      </c>
      <c r="M59" s="454"/>
      <c r="N59" s="223">
        <f t="shared" si="4"/>
        <v>0.66896551724137931</v>
      </c>
      <c r="O59" s="178">
        <f t="shared" si="91"/>
        <v>2.8961428571428565</v>
      </c>
      <c r="P59" s="178">
        <f t="shared" si="66"/>
        <v>5.0263636363636364</v>
      </c>
      <c r="Q59" s="223">
        <f t="shared" si="6"/>
        <v>0.12067261904761901</v>
      </c>
      <c r="R59" s="223">
        <f t="shared" si="67"/>
        <v>0.24134523809523803</v>
      </c>
      <c r="S59" s="454">
        <f t="shared" si="68"/>
        <v>24</v>
      </c>
      <c r="T59" s="223">
        <f t="shared" si="69"/>
        <v>0.71374932175800343</v>
      </c>
      <c r="U59" s="223">
        <f t="shared" si="10"/>
        <v>2.7955181768855137</v>
      </c>
      <c r="V59" s="223">
        <f t="shared" si="11"/>
        <v>1.3833492009330377</v>
      </c>
      <c r="W59" s="203">
        <f t="shared" si="12"/>
        <v>350</v>
      </c>
      <c r="X59" s="454">
        <f t="shared" si="48"/>
        <v>239.29929083368492</v>
      </c>
      <c r="Z59" s="223">
        <f t="shared" si="13"/>
        <v>0.48799916151346817</v>
      </c>
      <c r="AA59" s="179">
        <f t="shared" si="14"/>
        <v>0.94581280788177335</v>
      </c>
      <c r="AB59" s="179">
        <f t="shared" si="70"/>
        <v>8.077227500912576E-2</v>
      </c>
      <c r="AC59" s="179"/>
      <c r="AD59" s="179">
        <f t="shared" si="16"/>
        <v>0.56206185567010303</v>
      </c>
      <c r="AE59" s="563">
        <f t="shared" si="71"/>
        <v>728.84357527765849</v>
      </c>
      <c r="AF59" s="546">
        <f t="shared" si="72"/>
        <v>2.8524639175257726E-2</v>
      </c>
      <c r="AH59" s="179">
        <f t="shared" si="73"/>
        <v>0.57523353259461207</v>
      </c>
      <c r="AI59" s="179">
        <f t="shared" si="74"/>
        <v>0.57523353259461207</v>
      </c>
      <c r="AJ59" s="179">
        <f t="shared" si="75"/>
        <v>1.4112840982182311</v>
      </c>
      <c r="AL59" s="563">
        <f t="shared" si="76"/>
        <v>59.4</v>
      </c>
      <c r="AM59" s="472">
        <f t="shared" si="77"/>
        <v>239.29929083368492</v>
      </c>
      <c r="AO59">
        <f t="shared" si="49"/>
        <v>59.4</v>
      </c>
      <c r="AP59" s="472">
        <f t="shared" si="24"/>
        <v>239.29929083368492</v>
      </c>
      <c r="AQ59" s="472"/>
      <c r="AR59" s="6">
        <f t="shared" si="50"/>
        <v>4.1788673778185519</v>
      </c>
      <c r="AS59" s="6">
        <f t="shared" si="25"/>
        <v>2.2529980026622307</v>
      </c>
      <c r="AT59" s="6">
        <f t="shared" si="51"/>
        <v>1.9258693751563212</v>
      </c>
      <c r="AU59" s="179">
        <f t="shared" si="52"/>
        <v>0.53914082428678045</v>
      </c>
      <c r="AW59" s="6">
        <f t="shared" si="78"/>
        <v>0.55761700565890215</v>
      </c>
      <c r="AX59" s="6">
        <f t="shared" si="79"/>
        <v>2.027698202396008</v>
      </c>
      <c r="AY59" s="6">
        <f t="shared" si="28"/>
        <v>0.40139172240100168</v>
      </c>
      <c r="AZ59" s="6"/>
      <c r="BA59" s="179">
        <f t="shared" si="53"/>
        <v>0.24385669113373762</v>
      </c>
      <c r="BB59" s="179">
        <f t="shared" si="80"/>
        <v>0.22545905732467356</v>
      </c>
      <c r="BC59" s="179">
        <f t="shared" si="81"/>
        <v>0.40574264490711198</v>
      </c>
      <c r="BD59" s="179"/>
      <c r="BE59" s="546">
        <f t="shared" si="31"/>
        <v>2.0813130033743289E-2</v>
      </c>
      <c r="BF59" s="546">
        <f t="shared" si="32"/>
        <v>3.742440296246001E-2</v>
      </c>
      <c r="BG59" s="546">
        <f t="shared" si="33"/>
        <v>2.9912411354210615E-3</v>
      </c>
      <c r="BH59" s="546">
        <f t="shared" si="34"/>
        <v>1.5722711218056955E-2</v>
      </c>
      <c r="BI59">
        <f t="shared" si="35"/>
        <v>3.48E-3</v>
      </c>
      <c r="BJ59">
        <f t="shared" si="82"/>
        <v>8.1015750653542065E-2</v>
      </c>
      <c r="BK59" s="472">
        <f t="shared" si="54"/>
        <v>81.015750653542071</v>
      </c>
      <c r="BL59" s="179">
        <f t="shared" si="83"/>
        <v>1.7819999999999999E-2</v>
      </c>
      <c r="BM59" s="179">
        <f t="shared" si="84"/>
        <v>3.2400000000000005E-2</v>
      </c>
      <c r="BN59" s="546"/>
      <c r="BP59" s="472">
        <f t="shared" si="55"/>
        <v>50.22</v>
      </c>
      <c r="BQ59" s="546">
        <f t="shared" si="39"/>
        <v>1.1893217162139022E-2</v>
      </c>
      <c r="BR59" s="546">
        <f t="shared" si="56"/>
        <v>1.0166357305946089E-2</v>
      </c>
      <c r="BS59" s="546">
        <f t="shared" si="85"/>
        <v>1.6462709389621879E-2</v>
      </c>
      <c r="BT59" s="546">
        <f t="shared" si="41"/>
        <v>1.1115628416233004E-2</v>
      </c>
      <c r="BU59" s="546">
        <f t="shared" si="86"/>
        <v>4.9791358421361474E-2</v>
      </c>
      <c r="BV59" s="656">
        <f t="shared" si="87"/>
        <v>1.4648782460498118E-2</v>
      </c>
      <c r="BW59" s="472">
        <f t="shared" si="57"/>
        <v>64.440140881859591</v>
      </c>
      <c r="BX59" s="179">
        <f t="shared" si="58"/>
        <v>0.19567589153540166</v>
      </c>
      <c r="BY59" s="6">
        <f t="shared" si="59"/>
        <v>2.7216000000000005</v>
      </c>
      <c r="BZ59" s="179">
        <f t="shared" si="60"/>
        <v>0.93292513330564197</v>
      </c>
      <c r="CA59" s="6">
        <f t="shared" si="61"/>
        <v>93.292513330564191</v>
      </c>
      <c r="CB59">
        <f t="shared" si="92"/>
        <v>54</v>
      </c>
      <c r="CD59" s="581">
        <f t="shared" si="88"/>
        <v>-50</v>
      </c>
      <c r="CE59">
        <f t="shared" si="89"/>
        <v>-50</v>
      </c>
    </row>
    <row r="60" spans="5:83" x14ac:dyDescent="0.2">
      <c r="E60" s="176">
        <v>55</v>
      </c>
      <c r="F60" s="223">
        <f t="shared" si="93"/>
        <v>6.0500000000000005E-2</v>
      </c>
      <c r="G60" s="223">
        <f t="shared" si="90"/>
        <v>0.11000000000000001</v>
      </c>
      <c r="H60" s="223">
        <f t="shared" si="65"/>
        <v>1.4520000000000002</v>
      </c>
      <c r="I60" s="223">
        <f t="shared" si="94"/>
        <v>1.3200000000000003</v>
      </c>
      <c r="J60" s="559">
        <f t="shared" si="1"/>
        <v>12</v>
      </c>
      <c r="K60" s="454">
        <f t="shared" si="2"/>
        <v>24.25</v>
      </c>
      <c r="L60" s="454">
        <f t="shared" si="3"/>
        <v>36.25</v>
      </c>
      <c r="M60" s="454"/>
      <c r="N60" s="223">
        <f t="shared" si="4"/>
        <v>0.66896551724137931</v>
      </c>
      <c r="O60" s="178">
        <f t="shared" si="91"/>
        <v>2.8961428571428565</v>
      </c>
      <c r="P60" s="178">
        <f t="shared" si="66"/>
        <v>5.0263636363636364</v>
      </c>
      <c r="Q60" s="223">
        <f t="shared" si="6"/>
        <v>0.12067261904761901</v>
      </c>
      <c r="R60" s="223">
        <f t="shared" si="67"/>
        <v>0.24134523809523803</v>
      </c>
      <c r="S60" s="454">
        <f t="shared" si="68"/>
        <v>24</v>
      </c>
      <c r="T60" s="223">
        <f t="shared" si="69"/>
        <v>0.72696690179055901</v>
      </c>
      <c r="U60" s="223">
        <f t="shared" si="10"/>
        <v>2.8472870320130226</v>
      </c>
      <c r="V60" s="223">
        <f t="shared" si="11"/>
        <v>1.4089667787280935</v>
      </c>
      <c r="W60" s="203">
        <f t="shared" si="12"/>
        <v>350</v>
      </c>
      <c r="X60" s="454">
        <f t="shared" si="48"/>
        <v>234.94839463670894</v>
      </c>
      <c r="Z60" s="223">
        <f t="shared" si="13"/>
        <v>0.48799916151346817</v>
      </c>
      <c r="AA60" s="179">
        <f t="shared" si="14"/>
        <v>0.94581280788177335</v>
      </c>
      <c r="AB60" s="179">
        <f t="shared" si="70"/>
        <v>8.077227500912576E-2</v>
      </c>
      <c r="AC60" s="179"/>
      <c r="AD60" s="179">
        <f t="shared" si="16"/>
        <v>0.56206185567010303</v>
      </c>
      <c r="AE60" s="563">
        <f t="shared" si="71"/>
        <v>742.3406785235411</v>
      </c>
      <c r="AF60" s="546">
        <f t="shared" si="72"/>
        <v>2.8524639175257726E-2</v>
      </c>
      <c r="AH60" s="179">
        <f t="shared" si="73"/>
        <v>0.58053533621627607</v>
      </c>
      <c r="AI60" s="179">
        <f t="shared" si="74"/>
        <v>0.58053533621627607</v>
      </c>
      <c r="AJ60" s="179">
        <f t="shared" si="75"/>
        <v>1.4152113601602045</v>
      </c>
      <c r="AL60" s="563">
        <f t="shared" si="76"/>
        <v>60.500000000000007</v>
      </c>
      <c r="AM60" s="472">
        <f t="shared" si="77"/>
        <v>234.94839463670894</v>
      </c>
      <c r="AO60">
        <f t="shared" si="49"/>
        <v>60.500000000000007</v>
      </c>
      <c r="AP60">
        <f t="shared" si="24"/>
        <v>234.94839463670894</v>
      </c>
      <c r="AR60" s="6">
        <f t="shared" si="50"/>
        <v>4.2562538107411161</v>
      </c>
      <c r="AS60" s="6">
        <f t="shared" si="25"/>
        <v>2.2737634001804148</v>
      </c>
      <c r="AT60" s="6">
        <f t="shared" si="51"/>
        <v>1.9824904105607013</v>
      </c>
      <c r="AU60" s="179">
        <f t="shared" si="52"/>
        <v>0.5342170606560932</v>
      </c>
      <c r="AW60" s="6">
        <f t="shared" si="78"/>
        <v>0.57317785712881297</v>
      </c>
      <c r="AX60" s="6">
        <f t="shared" si="79"/>
        <v>2.0842831168320473</v>
      </c>
      <c r="AY60" s="6">
        <f t="shared" si="28"/>
        <v>0.42084445557516648</v>
      </c>
      <c r="AZ60" s="6"/>
      <c r="BA60" s="179">
        <f t="shared" si="53"/>
        <v>0.24497790088192509</v>
      </c>
      <c r="BB60" s="179">
        <f t="shared" si="80"/>
        <v>0.22874932483266611</v>
      </c>
      <c r="BC60" s="179">
        <f t="shared" si="81"/>
        <v>0.41166390554301691</v>
      </c>
      <c r="BD60" s="179"/>
      <c r="BE60" s="546">
        <f t="shared" si="31"/>
        <v>2.1004960172180009E-2</v>
      </c>
      <c r="BF60" s="546">
        <f t="shared" si="32"/>
        <v>3.7082620433840516E-2</v>
      </c>
      <c r="BG60" s="546">
        <f t="shared" si="33"/>
        <v>2.9368549329588617E-3</v>
      </c>
      <c r="BH60" s="546">
        <f t="shared" si="34"/>
        <v>1.543684374136502E-2</v>
      </c>
      <c r="BI60">
        <f t="shared" si="35"/>
        <v>3.48E-3</v>
      </c>
      <c r="BJ60">
        <f t="shared" si="82"/>
        <v>8.052737512783438E-2</v>
      </c>
      <c r="BK60" s="472">
        <f t="shared" si="54"/>
        <v>80.527375127834375</v>
      </c>
      <c r="BL60" s="179">
        <f t="shared" si="83"/>
        <v>1.8149999999999999E-2</v>
      </c>
      <c r="BM60" s="179">
        <f t="shared" si="84"/>
        <v>3.3000000000000002E-2</v>
      </c>
      <c r="BN60" s="546"/>
      <c r="BP60" s="472">
        <f t="shared" si="55"/>
        <v>51.15</v>
      </c>
      <c r="BQ60" s="546">
        <f t="shared" si="39"/>
        <v>1.2002834384102865E-2</v>
      </c>
      <c r="BR60" s="546">
        <f t="shared" si="56"/>
        <v>1.046525072228012E-2</v>
      </c>
      <c r="BS60" s="546">
        <f t="shared" si="85"/>
        <v>1.6946717112692994E-2</v>
      </c>
      <c r="BT60" s="546">
        <f t="shared" si="41"/>
        <v>1.086357728280486E-2</v>
      </c>
      <c r="BU60" s="546">
        <f t="shared" si="86"/>
        <v>5.0437417970179678E-2</v>
      </c>
      <c r="BV60" s="656">
        <f t="shared" si="87"/>
        <v>1.4648782460498125E-2</v>
      </c>
      <c r="BW60" s="472">
        <f t="shared" si="57"/>
        <v>65.086200430677806</v>
      </c>
      <c r="BX60" s="179">
        <f t="shared" si="58"/>
        <v>0.1967635755585122</v>
      </c>
      <c r="BY60" s="6">
        <f t="shared" si="59"/>
        <v>2.7720000000000002</v>
      </c>
      <c r="BZ60" s="179">
        <f t="shared" si="60"/>
        <v>0.93372204604689846</v>
      </c>
      <c r="CA60" s="6">
        <f t="shared" si="61"/>
        <v>93.372204604689841</v>
      </c>
      <c r="CB60">
        <f t="shared" si="92"/>
        <v>55.000000000000007</v>
      </c>
      <c r="CD60" s="581">
        <f t="shared" si="88"/>
        <v>-50</v>
      </c>
      <c r="CE60">
        <f t="shared" si="89"/>
        <v>-50</v>
      </c>
    </row>
    <row r="61" spans="5:83" x14ac:dyDescent="0.2">
      <c r="E61" s="176">
        <v>56</v>
      </c>
      <c r="F61" s="223">
        <f t="shared" si="93"/>
        <v>6.1600000000000009E-2</v>
      </c>
      <c r="G61" s="223">
        <f t="shared" si="90"/>
        <v>0.11200000000000002</v>
      </c>
      <c r="H61" s="223">
        <f t="shared" si="65"/>
        <v>1.4784000000000002</v>
      </c>
      <c r="I61" s="223">
        <f t="shared" si="94"/>
        <v>1.3440000000000003</v>
      </c>
      <c r="J61" s="559">
        <f t="shared" si="1"/>
        <v>12</v>
      </c>
      <c r="K61" s="454">
        <f t="shared" si="2"/>
        <v>24.25</v>
      </c>
      <c r="L61" s="454">
        <f t="shared" si="3"/>
        <v>36.25</v>
      </c>
      <c r="M61" s="454"/>
      <c r="N61" s="223">
        <f t="shared" si="4"/>
        <v>0.66896551724137931</v>
      </c>
      <c r="O61" s="178">
        <f t="shared" si="91"/>
        <v>2.8961428571428565</v>
      </c>
      <c r="P61" s="178">
        <f t="shared" si="66"/>
        <v>5.0263636363636364</v>
      </c>
      <c r="Q61" s="223">
        <f t="shared" si="6"/>
        <v>0.12067261904761901</v>
      </c>
      <c r="R61" s="223">
        <f t="shared" si="67"/>
        <v>0.24134523809523803</v>
      </c>
      <c r="S61" s="454">
        <f t="shared" si="68"/>
        <v>24</v>
      </c>
      <c r="T61" s="223">
        <f t="shared" si="69"/>
        <v>0.74018448182311469</v>
      </c>
      <c r="U61" s="223">
        <f t="shared" si="10"/>
        <v>2.8990558871405328</v>
      </c>
      <c r="V61" s="223">
        <f t="shared" si="11"/>
        <v>1.4345843565231502</v>
      </c>
      <c r="W61" s="203">
        <f t="shared" si="12"/>
        <v>350</v>
      </c>
      <c r="X61" s="454">
        <f t="shared" si="48"/>
        <v>230.75288758962478</v>
      </c>
      <c r="Z61" s="223">
        <f t="shared" si="13"/>
        <v>0.48799916151346817</v>
      </c>
      <c r="AA61" s="179">
        <f t="shared" si="14"/>
        <v>0.94581280788177335</v>
      </c>
      <c r="AB61" s="179">
        <f t="shared" si="70"/>
        <v>8.077227500912576E-2</v>
      </c>
      <c r="AC61" s="179"/>
      <c r="AD61" s="179">
        <f t="shared" si="16"/>
        <v>0.56206185567010303</v>
      </c>
      <c r="AE61" s="563">
        <f t="shared" si="71"/>
        <v>755.83778176942371</v>
      </c>
      <c r="AF61" s="546">
        <f t="shared" si="72"/>
        <v>2.8524639175257726E-2</v>
      </c>
      <c r="AH61" s="179">
        <f t="shared" si="73"/>
        <v>0.58578915675370169</v>
      </c>
      <c r="AI61" s="179">
        <f t="shared" si="74"/>
        <v>0.58578915675370169</v>
      </c>
      <c r="AJ61" s="179">
        <f t="shared" si="75"/>
        <v>1.419103079076816</v>
      </c>
      <c r="AL61" s="563">
        <f t="shared" si="76"/>
        <v>61.600000000000009</v>
      </c>
      <c r="AM61" s="472">
        <f t="shared" si="77"/>
        <v>230.75288758962478</v>
      </c>
      <c r="AO61">
        <f t="shared" si="49"/>
        <v>61.600000000000009</v>
      </c>
      <c r="AP61">
        <f t="shared" si="24"/>
        <v>230.75288758962478</v>
      </c>
      <c r="AR61" s="6">
        <f t="shared" si="50"/>
        <v>4.3336402436636829</v>
      </c>
      <c r="AS61" s="6">
        <f t="shared" si="25"/>
        <v>2.2943408639519984</v>
      </c>
      <c r="AT61" s="6">
        <f t="shared" si="51"/>
        <v>2.0392993797116845</v>
      </c>
      <c r="AU61" s="179">
        <f t="shared" si="52"/>
        <v>0.52942577947179814</v>
      </c>
      <c r="AW61" s="6">
        <f t="shared" si="78"/>
        <v>0.58888082174767975</v>
      </c>
      <c r="AX61" s="6">
        <f t="shared" si="79"/>
        <v>2.141384806355199</v>
      </c>
      <c r="AY61" s="6">
        <f t="shared" si="28"/>
        <v>0.44077488347452548</v>
      </c>
      <c r="AZ61" s="6"/>
      <c r="BA61" s="179">
        <f t="shared" si="53"/>
        <v>0.24608392403597684</v>
      </c>
      <c r="BB61" s="179">
        <f t="shared" si="80"/>
        <v>0.23200362293390997</v>
      </c>
      <c r="BC61" s="179">
        <f t="shared" si="81"/>
        <v>0.41752043459349292</v>
      </c>
      <c r="BD61" s="179"/>
      <c r="BE61" s="546">
        <f t="shared" si="31"/>
        <v>2.1195054184130546E-2</v>
      </c>
      <c r="BF61" s="546">
        <f t="shared" si="32"/>
        <v>3.6750034160143427E-2</v>
      </c>
      <c r="BG61" s="546">
        <f t="shared" si="33"/>
        <v>2.8844110948703094E-3</v>
      </c>
      <c r="BH61" s="546">
        <f t="shared" si="34"/>
        <v>1.5161185817412066E-2</v>
      </c>
      <c r="BI61">
        <f t="shared" si="35"/>
        <v>3.48E-3</v>
      </c>
      <c r="BJ61">
        <f t="shared" si="82"/>
        <v>8.0058642836591767E-2</v>
      </c>
      <c r="BK61" s="472">
        <f t="shared" si="54"/>
        <v>80.058642836591773</v>
      </c>
      <c r="BL61" s="179">
        <f t="shared" si="83"/>
        <v>1.8480000000000003E-2</v>
      </c>
      <c r="BM61" s="179">
        <f t="shared" si="84"/>
        <v>3.3600000000000005E-2</v>
      </c>
      <c r="BN61" s="546"/>
      <c r="BP61" s="472">
        <f t="shared" si="55"/>
        <v>52.080000000000005</v>
      </c>
      <c r="BQ61" s="546">
        <f t="shared" si="39"/>
        <v>1.2111459533788886E-2</v>
      </c>
      <c r="BR61" s="546">
        <f t="shared" si="56"/>
        <v>1.0765136210891976E-2</v>
      </c>
      <c r="BS61" s="546">
        <f t="shared" si="85"/>
        <v>1.7432331330313921E-2</v>
      </c>
      <c r="BT61" s="546">
        <f t="shared" si="41"/>
        <v>1.0621630427503205E-2</v>
      </c>
      <c r="BU61" s="546">
        <f t="shared" si="86"/>
        <v>5.1095325321879811E-2</v>
      </c>
      <c r="BV61" s="656">
        <f t="shared" si="87"/>
        <v>1.4648782460498127E-2</v>
      </c>
      <c r="BW61" s="472">
        <f t="shared" si="57"/>
        <v>65.744107782377938</v>
      </c>
      <c r="BX61" s="179">
        <f t="shared" si="58"/>
        <v>0.19788275061896973</v>
      </c>
      <c r="BY61" s="6">
        <f t="shared" si="59"/>
        <v>2.8224000000000005</v>
      </c>
      <c r="BZ61" s="179">
        <f t="shared" si="60"/>
        <v>0.93448204457731121</v>
      </c>
      <c r="CA61" s="6">
        <f t="shared" si="61"/>
        <v>93.448204457731123</v>
      </c>
      <c r="CB61">
        <f t="shared" si="92"/>
        <v>56.000000000000007</v>
      </c>
      <c r="CD61" s="581">
        <f t="shared" si="88"/>
        <v>-50</v>
      </c>
      <c r="CE61">
        <f t="shared" si="89"/>
        <v>-50</v>
      </c>
    </row>
    <row r="62" spans="5:83" x14ac:dyDescent="0.2">
      <c r="E62" s="176">
        <v>57</v>
      </c>
      <c r="F62" s="223">
        <f t="shared" si="93"/>
        <v>6.2699999999999992E-2</v>
      </c>
      <c r="G62" s="223">
        <f t="shared" si="90"/>
        <v>0.11399999999999999</v>
      </c>
      <c r="H62" s="223">
        <f t="shared" si="65"/>
        <v>1.5047999999999999</v>
      </c>
      <c r="I62" s="223">
        <f t="shared" si="94"/>
        <v>1.3679999999999999</v>
      </c>
      <c r="J62" s="559">
        <f t="shared" si="1"/>
        <v>12</v>
      </c>
      <c r="K62" s="454">
        <f t="shared" si="2"/>
        <v>24.25</v>
      </c>
      <c r="L62" s="454">
        <f t="shared" si="3"/>
        <v>36.25</v>
      </c>
      <c r="M62" s="454"/>
      <c r="N62" s="223">
        <f t="shared" si="4"/>
        <v>0.66896551724137931</v>
      </c>
      <c r="O62" s="178">
        <f t="shared" si="91"/>
        <v>2.8961428571428565</v>
      </c>
      <c r="P62" s="178">
        <f t="shared" si="66"/>
        <v>5.0263636363636364</v>
      </c>
      <c r="Q62" s="223">
        <f t="shared" si="6"/>
        <v>0.12067261904761901</v>
      </c>
      <c r="R62" s="223">
        <f t="shared" si="67"/>
        <v>0.24134523809523803</v>
      </c>
      <c r="S62" s="454">
        <f t="shared" si="68"/>
        <v>24</v>
      </c>
      <c r="T62" s="223">
        <f t="shared" si="69"/>
        <v>0.75340206185567016</v>
      </c>
      <c r="U62" s="223">
        <f t="shared" si="10"/>
        <v>2.9508247422680416</v>
      </c>
      <c r="V62" s="223">
        <f t="shared" si="11"/>
        <v>1.4602019343182062</v>
      </c>
      <c r="W62" s="203">
        <f t="shared" si="12"/>
        <v>350</v>
      </c>
      <c r="X62" s="454">
        <f t="shared" si="48"/>
        <v>226.70459131612265</v>
      </c>
      <c r="Z62" s="223">
        <f t="shared" si="13"/>
        <v>0.48799916151346817</v>
      </c>
      <c r="AA62" s="179">
        <f t="shared" si="14"/>
        <v>0.94581280788177335</v>
      </c>
      <c r="AB62" s="179">
        <f t="shared" si="70"/>
        <v>8.077227500912576E-2</v>
      </c>
      <c r="AC62" s="179"/>
      <c r="AD62" s="179">
        <f t="shared" si="16"/>
        <v>0.56206185567010303</v>
      </c>
      <c r="AE62" s="563">
        <f t="shared" si="71"/>
        <v>769.3348850153061</v>
      </c>
      <c r="AF62" s="546">
        <f t="shared" si="72"/>
        <v>2.8524639175257726E-2</v>
      </c>
      <c r="AH62" s="179">
        <f t="shared" si="73"/>
        <v>0.59099627388392295</v>
      </c>
      <c r="AI62" s="179">
        <f t="shared" si="74"/>
        <v>0.59099627388392295</v>
      </c>
      <c r="AJ62" s="179">
        <f t="shared" si="75"/>
        <v>1.4229602028769799</v>
      </c>
      <c r="AL62" s="563">
        <f t="shared" si="76"/>
        <v>62.699999999999989</v>
      </c>
      <c r="AM62" s="472">
        <f t="shared" si="77"/>
        <v>226.70459131612265</v>
      </c>
      <c r="AO62">
        <f t="shared" si="49"/>
        <v>62.699999999999989</v>
      </c>
      <c r="AP62">
        <f t="shared" si="24"/>
        <v>226.70459131612265</v>
      </c>
      <c r="AR62" s="6">
        <f t="shared" si="50"/>
        <v>4.411026676586248</v>
      </c>
      <c r="AS62" s="6">
        <f t="shared" si="25"/>
        <v>2.3147354060453651</v>
      </c>
      <c r="AT62" s="6">
        <f t="shared" si="51"/>
        <v>2.0962912705408829</v>
      </c>
      <c r="AU62" s="179">
        <f t="shared" si="52"/>
        <v>0.52476114423247366</v>
      </c>
      <c r="AW62" s="6">
        <f t="shared" si="78"/>
        <v>0.60472462482935163</v>
      </c>
      <c r="AX62" s="6">
        <f t="shared" si="79"/>
        <v>2.1989986357430968</v>
      </c>
      <c r="AY62" s="6">
        <f t="shared" si="28"/>
        <v>0.46118407951899421</v>
      </c>
      <c r="AZ62" s="6"/>
      <c r="BA62" s="179">
        <f t="shared" si="53"/>
        <v>0.24717523206327521</v>
      </c>
      <c r="BB62" s="179">
        <f t="shared" si="80"/>
        <v>0.23522316333507565</v>
      </c>
      <c r="BC62" s="179">
        <f t="shared" si="81"/>
        <v>0.42331441268093395</v>
      </c>
      <c r="BD62" s="179"/>
      <c r="BE62" s="546">
        <f t="shared" si="31"/>
        <v>2.1383458370936883E-2</v>
      </c>
      <c r="BF62" s="546">
        <f t="shared" si="32"/>
        <v>3.6426239001243518E-2</v>
      </c>
      <c r="BG62" s="546">
        <f t="shared" si="33"/>
        <v>2.8338073914515329E-3</v>
      </c>
      <c r="BH62" s="546">
        <f t="shared" si="34"/>
        <v>1.4895200101317122E-2</v>
      </c>
      <c r="BI62">
        <f t="shared" si="35"/>
        <v>3.48E-3</v>
      </c>
      <c r="BJ62">
        <f t="shared" si="82"/>
        <v>7.9608553963124648E-2</v>
      </c>
      <c r="BK62" s="472">
        <f t="shared" si="54"/>
        <v>79.608553963124649</v>
      </c>
      <c r="BL62" s="179">
        <f t="shared" si="83"/>
        <v>1.8809999999999997E-2</v>
      </c>
      <c r="BM62" s="179">
        <f t="shared" si="84"/>
        <v>3.4199999999999994E-2</v>
      </c>
      <c r="BN62" s="546"/>
      <c r="BP62" s="472">
        <f t="shared" si="55"/>
        <v>53.009999999999991</v>
      </c>
      <c r="BQ62" s="546">
        <f t="shared" si="39"/>
        <v>1.2219119069106792E-2</v>
      </c>
      <c r="BR62" s="546">
        <f t="shared" si="56"/>
        <v>1.1065987313871935E-2</v>
      </c>
      <c r="BS62" s="546">
        <f t="shared" si="85"/>
        <v>1.7919509198340407E-2</v>
      </c>
      <c r="BT62" s="546">
        <f t="shared" si="41"/>
        <v>1.0389213005923575E-2</v>
      </c>
      <c r="BU62" s="546">
        <f t="shared" si="86"/>
        <v>5.1764463372365233E-2</v>
      </c>
      <c r="BV62" s="656">
        <f t="shared" si="87"/>
        <v>1.4648782460498125E-2</v>
      </c>
      <c r="BW62" s="472">
        <f t="shared" si="57"/>
        <v>66.413245832863353</v>
      </c>
      <c r="BX62" s="179">
        <f t="shared" si="58"/>
        <v>0.19903179979598801</v>
      </c>
      <c r="BY62" s="6">
        <f t="shared" si="59"/>
        <v>2.8727999999999998</v>
      </c>
      <c r="BZ62" s="179">
        <f t="shared" si="60"/>
        <v>0.93520745510571046</v>
      </c>
      <c r="CA62" s="6">
        <f t="shared" si="61"/>
        <v>93.520745510571047</v>
      </c>
      <c r="CB62">
        <f t="shared" si="92"/>
        <v>56.999999999999993</v>
      </c>
      <c r="CD62" s="581">
        <f t="shared" si="88"/>
        <v>-50</v>
      </c>
      <c r="CE62">
        <f t="shared" si="89"/>
        <v>-50</v>
      </c>
    </row>
    <row r="63" spans="5:83" x14ac:dyDescent="0.2">
      <c r="E63" s="176">
        <v>58</v>
      </c>
      <c r="F63" s="223">
        <f t="shared" si="93"/>
        <v>6.3799999999999996E-2</v>
      </c>
      <c r="G63" s="223">
        <f t="shared" si="90"/>
        <v>0.11599999999999999</v>
      </c>
      <c r="H63" s="223">
        <f t="shared" si="65"/>
        <v>1.5311999999999999</v>
      </c>
      <c r="I63" s="223">
        <f t="shared" si="94"/>
        <v>1.3919999999999999</v>
      </c>
      <c r="J63" s="559">
        <f t="shared" si="1"/>
        <v>12</v>
      </c>
      <c r="K63" s="454">
        <f t="shared" si="2"/>
        <v>24.25</v>
      </c>
      <c r="L63" s="454">
        <f t="shared" si="3"/>
        <v>36.25</v>
      </c>
      <c r="M63" s="454"/>
      <c r="N63" s="223">
        <f t="shared" si="4"/>
        <v>0.66896551724137931</v>
      </c>
      <c r="O63" s="178">
        <f t="shared" si="91"/>
        <v>2.8961428571428565</v>
      </c>
      <c r="P63" s="178">
        <f t="shared" si="66"/>
        <v>5.0263636363636364</v>
      </c>
      <c r="Q63" s="223">
        <f t="shared" si="6"/>
        <v>0.12067261904761901</v>
      </c>
      <c r="R63" s="223">
        <f t="shared" si="67"/>
        <v>0.24134523809523803</v>
      </c>
      <c r="S63" s="454">
        <f t="shared" si="68"/>
        <v>24</v>
      </c>
      <c r="T63" s="223">
        <f t="shared" si="69"/>
        <v>0.76661964188822573</v>
      </c>
      <c r="U63" s="223">
        <f t="shared" si="10"/>
        <v>3.0025935973955504</v>
      </c>
      <c r="V63" s="223">
        <f t="shared" si="11"/>
        <v>1.4858195121132622</v>
      </c>
      <c r="W63" s="203">
        <f t="shared" si="12"/>
        <v>350</v>
      </c>
      <c r="X63" s="454">
        <f t="shared" si="48"/>
        <v>222.79589146584473</v>
      </c>
      <c r="Z63" s="223">
        <f t="shared" si="13"/>
        <v>0.48799916151346817</v>
      </c>
      <c r="AA63" s="179">
        <f t="shared" si="14"/>
        <v>0.94581280788177335</v>
      </c>
      <c r="AB63" s="179">
        <f t="shared" si="70"/>
        <v>8.077227500912576E-2</v>
      </c>
      <c r="AC63" s="179"/>
      <c r="AD63" s="179">
        <f t="shared" si="16"/>
        <v>0.56206185567010303</v>
      </c>
      <c r="AE63" s="563">
        <f t="shared" si="71"/>
        <v>782.8319882611886</v>
      </c>
      <c r="AF63" s="546">
        <f t="shared" si="72"/>
        <v>2.8524639175257726E-2</v>
      </c>
      <c r="AH63" s="179">
        <f t="shared" si="73"/>
        <v>0.59615791139525176</v>
      </c>
      <c r="AI63" s="179">
        <f t="shared" si="74"/>
        <v>0.59615791139525176</v>
      </c>
      <c r="AJ63" s="179">
        <f t="shared" si="75"/>
        <v>1.4267836380705567</v>
      </c>
      <c r="AL63" s="563">
        <f t="shared" si="76"/>
        <v>63.8</v>
      </c>
      <c r="AM63" s="472">
        <f t="shared" si="77"/>
        <v>222.79589146584473</v>
      </c>
      <c r="AO63">
        <f t="shared" si="49"/>
        <v>63.8</v>
      </c>
      <c r="AP63">
        <f t="shared" si="24"/>
        <v>222.79589146584473</v>
      </c>
      <c r="AR63" s="6">
        <f t="shared" si="50"/>
        <v>4.4884131095088122</v>
      </c>
      <c r="AS63" s="6">
        <f t="shared" si="25"/>
        <v>2.334951819631403</v>
      </c>
      <c r="AT63" s="6">
        <f t="shared" si="51"/>
        <v>2.1534612898774093</v>
      </c>
      <c r="AU63" s="179">
        <f t="shared" si="52"/>
        <v>0.52021767218457471</v>
      </c>
      <c r="AW63" s="6">
        <f t="shared" si="78"/>
        <v>0.62070802538534786</v>
      </c>
      <c r="AX63" s="6">
        <f t="shared" si="79"/>
        <v>2.2571200923103558</v>
      </c>
      <c r="AY63" s="6">
        <f t="shared" si="28"/>
        <v>0.48207308875150412</v>
      </c>
      <c r="AZ63" s="6"/>
      <c r="BA63" s="179">
        <f t="shared" si="53"/>
        <v>0.24825227383088885</v>
      </c>
      <c r="BB63" s="179">
        <f t="shared" si="80"/>
        <v>0.23840908884557302</v>
      </c>
      <c r="BC63" s="179">
        <f t="shared" si="81"/>
        <v>0.42904789643822983</v>
      </c>
      <c r="BD63" s="179"/>
      <c r="BE63" s="546">
        <f t="shared" si="31"/>
        <v>2.1570217011772315E-2</v>
      </c>
      <c r="BF63" s="546">
        <f t="shared" si="32"/>
        <v>3.6110854372386689E-2</v>
      </c>
      <c r="BG63" s="546">
        <f t="shared" si="33"/>
        <v>2.7849486433230591E-3</v>
      </c>
      <c r="BH63" s="546">
        <f t="shared" si="34"/>
        <v>1.4638386306466831E-2</v>
      </c>
      <c r="BI63">
        <f t="shared" si="35"/>
        <v>3.48E-3</v>
      </c>
      <c r="BJ63">
        <f t="shared" si="82"/>
        <v>7.917617541852702E-2</v>
      </c>
      <c r="BK63" s="472">
        <f t="shared" si="54"/>
        <v>79.176175418527023</v>
      </c>
      <c r="BL63" s="179">
        <f t="shared" si="83"/>
        <v>1.9139999999999997E-2</v>
      </c>
      <c r="BM63" s="179">
        <f t="shared" si="84"/>
        <v>3.4799999999999998E-2</v>
      </c>
      <c r="BN63" s="546"/>
      <c r="BP63" s="472">
        <f t="shared" si="55"/>
        <v>53.94</v>
      </c>
      <c r="BQ63" s="546">
        <f t="shared" si="39"/>
        <v>1.2325838292441325E-2</v>
      </c>
      <c r="BR63" s="546">
        <f t="shared" si="56"/>
        <v>1.1367778728835267E-2</v>
      </c>
      <c r="BS63" s="546">
        <f t="shared" si="85"/>
        <v>1.8408209743807E-2</v>
      </c>
      <c r="BT63" s="546">
        <f t="shared" si="41"/>
        <v>1.016579220388239E-2</v>
      </c>
      <c r="BU63" s="546">
        <f t="shared" si="86"/>
        <v>5.2444258897199024E-2</v>
      </c>
      <c r="BV63" s="656">
        <f t="shared" si="87"/>
        <v>1.4648782460498127E-2</v>
      </c>
      <c r="BW63" s="472">
        <f t="shared" si="57"/>
        <v>67.09304135769716</v>
      </c>
      <c r="BX63" s="179">
        <f t="shared" si="58"/>
        <v>0.20020921677622419</v>
      </c>
      <c r="BY63" s="6">
        <f t="shared" si="59"/>
        <v>2.9231999999999996</v>
      </c>
      <c r="BZ63" s="179">
        <f t="shared" si="60"/>
        <v>0.9359004207002799</v>
      </c>
      <c r="CA63" s="6">
        <f t="shared" si="61"/>
        <v>93.590042070027991</v>
      </c>
      <c r="CB63">
        <f t="shared" si="92"/>
        <v>57.999999999999993</v>
      </c>
      <c r="CD63" s="581">
        <f t="shared" si="88"/>
        <v>-50</v>
      </c>
      <c r="CE63">
        <f t="shared" si="89"/>
        <v>-50</v>
      </c>
    </row>
    <row r="64" spans="5:83" x14ac:dyDescent="0.2">
      <c r="E64" s="176">
        <v>59</v>
      </c>
      <c r="F64" s="223">
        <f t="shared" si="93"/>
        <v>6.4899999999999999E-2</v>
      </c>
      <c r="G64" s="223">
        <f t="shared" si="90"/>
        <v>0.11799999999999999</v>
      </c>
      <c r="H64" s="223">
        <f t="shared" si="65"/>
        <v>1.5575999999999999</v>
      </c>
      <c r="I64" s="223">
        <f t="shared" si="94"/>
        <v>1.4159999999999999</v>
      </c>
      <c r="J64" s="559">
        <f t="shared" si="1"/>
        <v>12</v>
      </c>
      <c r="K64" s="454">
        <f t="shared" si="2"/>
        <v>24.25</v>
      </c>
      <c r="L64" s="454">
        <f t="shared" si="3"/>
        <v>36.25</v>
      </c>
      <c r="M64" s="454"/>
      <c r="N64" s="223">
        <f t="shared" si="4"/>
        <v>0.66896551724137931</v>
      </c>
      <c r="O64" s="178">
        <f t="shared" si="91"/>
        <v>2.8961428571428565</v>
      </c>
      <c r="P64" s="178">
        <f t="shared" si="66"/>
        <v>5.0263636363636364</v>
      </c>
      <c r="Q64" s="223">
        <f t="shared" si="6"/>
        <v>0.12067261904761901</v>
      </c>
      <c r="R64" s="223">
        <f t="shared" si="67"/>
        <v>0.24134523809523803</v>
      </c>
      <c r="S64" s="454">
        <f t="shared" si="68"/>
        <v>24</v>
      </c>
      <c r="T64" s="223">
        <f t="shared" si="69"/>
        <v>0.77983722192078131</v>
      </c>
      <c r="U64" s="223">
        <f t="shared" si="10"/>
        <v>3.0543624525230597</v>
      </c>
      <c r="V64" s="223">
        <f t="shared" si="11"/>
        <v>1.5114370899083183</v>
      </c>
      <c r="W64" s="203">
        <f t="shared" si="12"/>
        <v>350</v>
      </c>
      <c r="X64" s="454">
        <f t="shared" si="48"/>
        <v>219.01968991557615</v>
      </c>
      <c r="Z64" s="223">
        <f t="shared" si="13"/>
        <v>0.48799916151346817</v>
      </c>
      <c r="AA64" s="179">
        <f t="shared" si="14"/>
        <v>0.94581280788177335</v>
      </c>
      <c r="AB64" s="179">
        <f t="shared" si="70"/>
        <v>8.077227500912576E-2</v>
      </c>
      <c r="AC64" s="179"/>
      <c r="AD64" s="179">
        <f t="shared" si="16"/>
        <v>0.56206185567010303</v>
      </c>
      <c r="AE64" s="563">
        <f t="shared" si="71"/>
        <v>796.32909150707133</v>
      </c>
      <c r="AF64" s="546">
        <f t="shared" si="72"/>
        <v>2.8524639175257726E-2</v>
      </c>
      <c r="AH64" s="179">
        <f t="shared" si="73"/>
        <v>0.60127524054597248</v>
      </c>
      <c r="AI64" s="179">
        <f t="shared" si="74"/>
        <v>0.60127524054597248</v>
      </c>
      <c r="AJ64" s="179">
        <f t="shared" si="75"/>
        <v>1.4305742522562759</v>
      </c>
      <c r="AL64" s="563">
        <f t="shared" si="76"/>
        <v>64.900000000000006</v>
      </c>
      <c r="AM64" s="472">
        <f t="shared" si="77"/>
        <v>219.01968991557615</v>
      </c>
      <c r="AO64">
        <f t="shared" si="49"/>
        <v>64.900000000000006</v>
      </c>
      <c r="AP64">
        <f t="shared" si="24"/>
        <v>219.01968991557615</v>
      </c>
      <c r="AR64" s="6">
        <f t="shared" si="50"/>
        <v>4.5657995424313782</v>
      </c>
      <c r="AS64" s="6">
        <f t="shared" si="25"/>
        <v>2.354994692138392</v>
      </c>
      <c r="AT64" s="6">
        <f t="shared" si="51"/>
        <v>2.2108048502929862</v>
      </c>
      <c r="AU64" s="179">
        <f t="shared" si="52"/>
        <v>0.51579020722497837</v>
      </c>
      <c r="AW64" s="6">
        <f t="shared" si="78"/>
        <v>0.63682981466575683</v>
      </c>
      <c r="AX64" s="6">
        <f t="shared" si="79"/>
        <v>2.3157447806027518</v>
      </c>
      <c r="AY64" s="6">
        <f t="shared" si="28"/>
        <v>0.5034429290667185</v>
      </c>
      <c r="AZ64" s="6"/>
      <c r="BA64" s="179">
        <f t="shared" si="53"/>
        <v>0.24931547705763071</v>
      </c>
      <c r="BB64" s="179">
        <f t="shared" si="80"/>
        <v>0.2415624788691289</v>
      </c>
      <c r="BC64" s="179">
        <f t="shared" si="81"/>
        <v>0.43472282839156789</v>
      </c>
      <c r="BD64" s="179"/>
      <c r="BE64" s="546">
        <f t="shared" si="31"/>
        <v>2.1755372485165892E-2</v>
      </c>
      <c r="BF64" s="546">
        <f t="shared" si="32"/>
        <v>3.5803522363223227E-2</v>
      </c>
      <c r="BG64" s="546">
        <f t="shared" si="33"/>
        <v>2.7377461239447018E-3</v>
      </c>
      <c r="BH64" s="546">
        <f t="shared" si="34"/>
        <v>1.439027806398434E-2</v>
      </c>
      <c r="BI64">
        <f t="shared" si="35"/>
        <v>3.48E-3</v>
      </c>
      <c r="BJ64">
        <f t="shared" si="82"/>
        <v>7.8760635337590035E-2</v>
      </c>
      <c r="BK64" s="472">
        <f t="shared" si="54"/>
        <v>78.760635337590031</v>
      </c>
      <c r="BL64" s="179">
        <f t="shared" si="83"/>
        <v>1.9469999999999998E-2</v>
      </c>
      <c r="BM64" s="179">
        <f t="shared" si="84"/>
        <v>3.5399999999999994E-2</v>
      </c>
      <c r="BN64" s="546"/>
      <c r="BP64" s="472">
        <f t="shared" si="55"/>
        <v>54.86999999999999</v>
      </c>
      <c r="BQ64" s="546">
        <f t="shared" si="39"/>
        <v>1.2431641420094798E-2</v>
      </c>
      <c r="BR64" s="546">
        <f t="shared" si="56"/>
        <v>1.1670486239479671E-2</v>
      </c>
      <c r="BS64" s="546">
        <f t="shared" si="85"/>
        <v>1.8898393752476459E-2</v>
      </c>
      <c r="BT64" s="546">
        <f t="shared" si="41"/>
        <v>9.9508735054923466E-3</v>
      </c>
      <c r="BU64" s="546">
        <f t="shared" si="86"/>
        <v>5.313417870868524E-2</v>
      </c>
      <c r="BV64" s="656">
        <f t="shared" si="87"/>
        <v>1.4648782460498128E-2</v>
      </c>
      <c r="BW64" s="472">
        <f t="shared" si="57"/>
        <v>67.782961169183366</v>
      </c>
      <c r="BX64" s="179">
        <f t="shared" si="58"/>
        <v>0.2014135965067734</v>
      </c>
      <c r="BY64" s="6">
        <f t="shared" si="59"/>
        <v>2.9735999999999998</v>
      </c>
      <c r="BZ64" s="179">
        <f t="shared" si="60"/>
        <v>0.936562918430216</v>
      </c>
      <c r="CA64" s="6">
        <f t="shared" si="61"/>
        <v>93.656291843021606</v>
      </c>
      <c r="CB64">
        <f t="shared" si="92"/>
        <v>59</v>
      </c>
      <c r="CD64" s="581">
        <f t="shared" si="88"/>
        <v>-50</v>
      </c>
      <c r="CE64">
        <f t="shared" si="89"/>
        <v>-50</v>
      </c>
    </row>
    <row r="65" spans="5:83" x14ac:dyDescent="0.2">
      <c r="E65" s="176">
        <v>60</v>
      </c>
      <c r="F65" s="223">
        <f t="shared" si="93"/>
        <v>6.6000000000000003E-2</v>
      </c>
      <c r="G65" s="223">
        <f t="shared" si="90"/>
        <v>0.12</v>
      </c>
      <c r="H65" s="223">
        <f t="shared" si="65"/>
        <v>1.5840000000000001</v>
      </c>
      <c r="I65" s="223">
        <f t="shared" si="94"/>
        <v>1.44</v>
      </c>
      <c r="J65" s="559">
        <f t="shared" si="1"/>
        <v>12</v>
      </c>
      <c r="K65" s="454">
        <f t="shared" si="2"/>
        <v>24.25</v>
      </c>
      <c r="L65" s="454">
        <f t="shared" si="3"/>
        <v>36.25</v>
      </c>
      <c r="M65" s="454"/>
      <c r="N65" s="223">
        <f t="shared" si="4"/>
        <v>0.66896551724137931</v>
      </c>
      <c r="O65" s="178">
        <f t="shared" si="91"/>
        <v>2.8961428571428565</v>
      </c>
      <c r="P65" s="178">
        <f t="shared" si="66"/>
        <v>5.0263636363636364</v>
      </c>
      <c r="Q65" s="223">
        <f t="shared" si="6"/>
        <v>0.12067261904761901</v>
      </c>
      <c r="R65" s="223">
        <f t="shared" si="67"/>
        <v>0.24134523809523803</v>
      </c>
      <c r="S65" s="454">
        <f t="shared" si="68"/>
        <v>24</v>
      </c>
      <c r="T65" s="223">
        <f t="shared" si="69"/>
        <v>0.793054801953337</v>
      </c>
      <c r="U65" s="223">
        <f t="shared" si="10"/>
        <v>3.1061313076505694</v>
      </c>
      <c r="V65" s="223">
        <f t="shared" si="11"/>
        <v>1.5370546677033745</v>
      </c>
      <c r="W65" s="203">
        <f t="shared" si="12"/>
        <v>350</v>
      </c>
      <c r="X65" s="454">
        <f t="shared" si="48"/>
        <v>215.36936175031653</v>
      </c>
      <c r="Z65" s="223">
        <f t="shared" si="13"/>
        <v>0.48799916151346817</v>
      </c>
      <c r="AA65" s="179">
        <f t="shared" si="14"/>
        <v>0.94581280788177335</v>
      </c>
      <c r="AB65" s="179">
        <f t="shared" si="70"/>
        <v>8.077227500912576E-2</v>
      </c>
      <c r="AC65" s="179"/>
      <c r="AD65" s="179">
        <f t="shared" si="16"/>
        <v>0.56206185567010303</v>
      </c>
      <c r="AE65" s="563">
        <f t="shared" si="71"/>
        <v>809.82619475295371</v>
      </c>
      <c r="AF65" s="546">
        <f t="shared" si="72"/>
        <v>2.8524639175257726E-2</v>
      </c>
      <c r="AH65" s="179">
        <f t="shared" si="73"/>
        <v>0.60634938316789366</v>
      </c>
      <c r="AI65" s="179">
        <f t="shared" si="74"/>
        <v>0.60634938316789366</v>
      </c>
      <c r="AJ65" s="179">
        <f t="shared" si="75"/>
        <v>1.434332876420662</v>
      </c>
      <c r="AL65" s="563">
        <f t="shared" si="76"/>
        <v>66</v>
      </c>
      <c r="AM65" s="472">
        <f t="shared" si="77"/>
        <v>215.36936175031653</v>
      </c>
      <c r="AO65">
        <f t="shared" si="49"/>
        <v>66</v>
      </c>
      <c r="AP65">
        <f t="shared" si="24"/>
        <v>215.36936175031653</v>
      </c>
      <c r="AR65" s="6">
        <f t="shared" si="50"/>
        <v>4.6431859753539442</v>
      </c>
      <c r="AS65" s="6">
        <f t="shared" si="25"/>
        <v>2.3748684174075834</v>
      </c>
      <c r="AT65" s="6">
        <f t="shared" si="51"/>
        <v>2.2683175579463608</v>
      </c>
      <c r="AU65" s="179">
        <f t="shared" si="52"/>
        <v>0.51147389529805554</v>
      </c>
      <c r="AW65" s="6">
        <f t="shared" si="78"/>
        <v>0.65308881478708536</v>
      </c>
      <c r="AX65" s="6">
        <f t="shared" si="79"/>
        <v>2.3748684174075834</v>
      </c>
      <c r="AY65" s="6">
        <f t="shared" si="28"/>
        <v>0.52529459236652565</v>
      </c>
      <c r="AZ65" s="6"/>
      <c r="BA65" s="179">
        <f t="shared" si="53"/>
        <v>0.25036524964993112</v>
      </c>
      <c r="BB65" s="179">
        <f t="shared" si="80"/>
        <v>0.24468435433653982</v>
      </c>
      <c r="BC65" s="179">
        <f t="shared" si="81"/>
        <v>0.44034104583755773</v>
      </c>
      <c r="BD65" s="179"/>
      <c r="BE65" s="546">
        <f t="shared" si="31"/>
        <v>2.1938965381295316E-2</v>
      </c>
      <c r="BF65" s="546">
        <f t="shared" si="32"/>
        <v>3.5503906029997999E-2</v>
      </c>
      <c r="BG65" s="546">
        <f t="shared" si="33"/>
        <v>2.6921170218789565E-3</v>
      </c>
      <c r="BH65" s="546">
        <f t="shared" si="34"/>
        <v>1.4150440096251266E-2</v>
      </c>
      <c r="BI65">
        <f t="shared" si="35"/>
        <v>3.48E-3</v>
      </c>
      <c r="BJ65">
        <f t="shared" si="82"/>
        <v>7.8361118113054865E-2</v>
      </c>
      <c r="BK65" s="472">
        <f t="shared" si="54"/>
        <v>78.361118113054872</v>
      </c>
      <c r="BL65" s="179">
        <f t="shared" si="83"/>
        <v>1.9800000000000002E-2</v>
      </c>
      <c r="BM65" s="179">
        <f t="shared" si="84"/>
        <v>3.5999999999999997E-2</v>
      </c>
      <c r="BN65" s="546"/>
      <c r="BP65" s="472">
        <f t="shared" si="55"/>
        <v>55.800000000000004</v>
      </c>
      <c r="BQ65" s="546">
        <f t="shared" si="39"/>
        <v>1.2536551646454466E-2</v>
      </c>
      <c r="BR65" s="546">
        <f t="shared" si="56"/>
        <v>1.1974086651417875E-2</v>
      </c>
      <c r="BS65" s="546">
        <f t="shared" si="85"/>
        <v>1.9390023664931411E-2</v>
      </c>
      <c r="BT65" s="546">
        <f t="shared" si="41"/>
        <v>9.7439973491542046E-3</v>
      </c>
      <c r="BU65" s="546">
        <f t="shared" si="86"/>
        <v>5.3833726209278884E-2</v>
      </c>
      <c r="BV65" s="656">
        <f t="shared" si="87"/>
        <v>1.4648782460498127E-2</v>
      </c>
      <c r="BW65" s="472">
        <f t="shared" si="57"/>
        <v>68.482508669777005</v>
      </c>
      <c r="BX65" s="179">
        <f t="shared" si="58"/>
        <v>0.2026436267828319</v>
      </c>
      <c r="BY65" s="6">
        <f t="shared" si="59"/>
        <v>3.024</v>
      </c>
      <c r="BZ65" s="179">
        <f t="shared" si="60"/>
        <v>0.93719677466058426</v>
      </c>
      <c r="CA65" s="6">
        <f t="shared" si="61"/>
        <v>93.719677466058428</v>
      </c>
      <c r="CB65">
        <f t="shared" si="92"/>
        <v>60</v>
      </c>
      <c r="CD65" s="581">
        <f t="shared" si="88"/>
        <v>-50</v>
      </c>
      <c r="CE65">
        <f t="shared" si="89"/>
        <v>-50</v>
      </c>
    </row>
    <row r="66" spans="5:83" x14ac:dyDescent="0.2">
      <c r="E66" s="176">
        <v>61</v>
      </c>
      <c r="F66" s="223">
        <f t="shared" si="93"/>
        <v>6.7099999999999993E-2</v>
      </c>
      <c r="G66" s="223">
        <f t="shared" si="90"/>
        <v>0.122</v>
      </c>
      <c r="H66" s="223">
        <f t="shared" si="65"/>
        <v>1.6103999999999998</v>
      </c>
      <c r="I66" s="223">
        <f t="shared" si="94"/>
        <v>1.464</v>
      </c>
      <c r="J66" s="559">
        <f t="shared" si="1"/>
        <v>12</v>
      </c>
      <c r="K66" s="454">
        <f t="shared" si="2"/>
        <v>24.25</v>
      </c>
      <c r="L66" s="454">
        <f t="shared" si="3"/>
        <v>36.25</v>
      </c>
      <c r="M66" s="454"/>
      <c r="N66" s="223">
        <f t="shared" si="4"/>
        <v>0.66896551724137931</v>
      </c>
      <c r="O66" s="178">
        <f t="shared" si="91"/>
        <v>2.8961428571428565</v>
      </c>
      <c r="P66" s="178">
        <f t="shared" si="66"/>
        <v>5.0263636363636364</v>
      </c>
      <c r="Q66" s="223">
        <f t="shared" si="6"/>
        <v>0.12067261904761901</v>
      </c>
      <c r="R66" s="223">
        <f t="shared" si="67"/>
        <v>0.24134523809523803</v>
      </c>
      <c r="S66" s="454">
        <f t="shared" si="68"/>
        <v>24</v>
      </c>
      <c r="T66" s="223">
        <f t="shared" si="69"/>
        <v>0.80627238198589257</v>
      </c>
      <c r="U66" s="223">
        <f t="shared" si="10"/>
        <v>3.1579001627780792</v>
      </c>
      <c r="V66" s="223">
        <f t="shared" si="11"/>
        <v>1.562672245498431</v>
      </c>
      <c r="W66" s="203">
        <f t="shared" si="12"/>
        <v>350</v>
      </c>
      <c r="X66" s="454">
        <f t="shared" si="48"/>
        <v>211.83871647572118</v>
      </c>
      <c r="Z66" s="223">
        <f t="shared" si="13"/>
        <v>0.48799916151346817</v>
      </c>
      <c r="AA66" s="179">
        <f t="shared" si="14"/>
        <v>0.94581280788177335</v>
      </c>
      <c r="AB66" s="179">
        <f t="shared" si="70"/>
        <v>8.077227500912576E-2</v>
      </c>
      <c r="AC66" s="179"/>
      <c r="AD66" s="179">
        <f t="shared" si="16"/>
        <v>0.56206185567010303</v>
      </c>
      <c r="AE66" s="563">
        <f t="shared" si="71"/>
        <v>823.32329799883632</v>
      </c>
      <c r="AF66" s="546">
        <f t="shared" si="72"/>
        <v>2.8524639175257726E-2</v>
      </c>
      <c r="AH66" s="179">
        <f t="shared" si="73"/>
        <v>0.61138141453805517</v>
      </c>
      <c r="AI66" s="179">
        <f t="shared" si="74"/>
        <v>0.61138141453805517</v>
      </c>
      <c r="AJ66" s="179">
        <f t="shared" si="75"/>
        <v>1.438060307065226</v>
      </c>
      <c r="AL66" s="563">
        <f t="shared" si="76"/>
        <v>67.099999999999994</v>
      </c>
      <c r="AM66" s="472">
        <f t="shared" si="77"/>
        <v>211.83871647572118</v>
      </c>
      <c r="AO66">
        <f t="shared" si="49"/>
        <v>67.099999999999994</v>
      </c>
      <c r="AP66">
        <f t="shared" si="24"/>
        <v>211.83871647572118</v>
      </c>
      <c r="AR66" s="6">
        <f t="shared" si="50"/>
        <v>4.7205724082765101</v>
      </c>
      <c r="AS66" s="6">
        <f t="shared" si="25"/>
        <v>2.3945772069407156</v>
      </c>
      <c r="AT66" s="6">
        <f t="shared" si="51"/>
        <v>2.3259952013357945</v>
      </c>
      <c r="AU66" s="179">
        <f t="shared" si="52"/>
        <v>0.50726416202033864</v>
      </c>
      <c r="AW66" s="6">
        <f t="shared" si="78"/>
        <v>0.6694838774405083</v>
      </c>
      <c r="AX66" s="6">
        <f t="shared" si="79"/>
        <v>2.4344868270563942</v>
      </c>
      <c r="AY66" s="6">
        <f t="shared" si="28"/>
        <v>0.54762904564783088</v>
      </c>
      <c r="AZ66" s="6"/>
      <c r="BA66" s="179">
        <f t="shared" si="53"/>
        <v>0.25140198093259325</v>
      </c>
      <c r="BB66" s="179">
        <f t="shared" si="80"/>
        <v>0.24777568214822676</v>
      </c>
      <c r="BC66" s="179">
        <f t="shared" si="81"/>
        <v>0.44590428883818173</v>
      </c>
      <c r="BD66" s="179"/>
      <c r="BE66" s="546">
        <f t="shared" si="31"/>
        <v>2.2121034605891193E-2</v>
      </c>
      <c r="BF66" s="546">
        <f t="shared" si="32"/>
        <v>3.5211687842369256E-2</v>
      </c>
      <c r="BG66" s="546">
        <f t="shared" si="33"/>
        <v>2.6479839559465147E-3</v>
      </c>
      <c r="BH66" s="546">
        <f t="shared" si="34"/>
        <v>1.3918465668443869E-2</v>
      </c>
      <c r="BI66">
        <f t="shared" si="35"/>
        <v>3.48E-3</v>
      </c>
      <c r="BJ66">
        <f t="shared" si="82"/>
        <v>7.797685990755901E-2</v>
      </c>
      <c r="BK66" s="472">
        <f t="shared" si="54"/>
        <v>77.976859907559003</v>
      </c>
      <c r="BL66" s="179">
        <f t="shared" si="83"/>
        <v>2.0129999999999999E-2</v>
      </c>
      <c r="BM66" s="179">
        <f t="shared" si="84"/>
        <v>3.6600000000000001E-2</v>
      </c>
      <c r="BN66" s="546"/>
      <c r="BP66" s="472">
        <f t="shared" si="55"/>
        <v>56.730000000000004</v>
      </c>
      <c r="BQ66" s="546">
        <f t="shared" si="39"/>
        <v>1.2640591203366398E-2</v>
      </c>
      <c r="BR66" s="546">
        <f t="shared" si="56"/>
        <v>1.227855773280382E-2</v>
      </c>
      <c r="BS66" s="546">
        <f t="shared" si="85"/>
        <v>1.988306348042846E-2</v>
      </c>
      <c r="BT66" s="546">
        <f t="shared" si="41"/>
        <v>9.5447361254576892E-3</v>
      </c>
      <c r="BU66" s="546">
        <f t="shared" si="86"/>
        <v>5.4542438294551708E-2</v>
      </c>
      <c r="BV66" s="656">
        <f t="shared" si="87"/>
        <v>1.4648782460498127E-2</v>
      </c>
      <c r="BW66" s="472">
        <f t="shared" si="57"/>
        <v>69.191220755049841</v>
      </c>
      <c r="BX66" s="179">
        <f t="shared" si="58"/>
        <v>0.20389808066260887</v>
      </c>
      <c r="BY66" s="6">
        <f t="shared" si="59"/>
        <v>3.0743999999999998</v>
      </c>
      <c r="BZ66" s="179">
        <f t="shared" si="60"/>
        <v>0.93780367872423698</v>
      </c>
      <c r="CA66" s="6">
        <f t="shared" si="61"/>
        <v>93.780367872423696</v>
      </c>
      <c r="CB66">
        <f t="shared" si="92"/>
        <v>61</v>
      </c>
      <c r="CD66" s="581">
        <f t="shared" si="88"/>
        <v>-50</v>
      </c>
      <c r="CE66">
        <f t="shared" si="89"/>
        <v>-50</v>
      </c>
    </row>
    <row r="67" spans="5:83" x14ac:dyDescent="0.2">
      <c r="E67" s="176">
        <v>62</v>
      </c>
      <c r="F67" s="223">
        <f t="shared" si="93"/>
        <v>6.8199999999999997E-2</v>
      </c>
      <c r="G67" s="223">
        <f t="shared" si="90"/>
        <v>0.124</v>
      </c>
      <c r="H67" s="223">
        <f t="shared" si="65"/>
        <v>1.6368</v>
      </c>
      <c r="I67" s="223">
        <f t="shared" si="94"/>
        <v>1.488</v>
      </c>
      <c r="J67" s="559">
        <f t="shared" si="1"/>
        <v>12</v>
      </c>
      <c r="K67" s="454">
        <f t="shared" si="2"/>
        <v>24.25</v>
      </c>
      <c r="L67" s="454">
        <f t="shared" si="3"/>
        <v>36.25</v>
      </c>
      <c r="M67" s="454"/>
      <c r="N67" s="223">
        <f t="shared" si="4"/>
        <v>0.66896551724137931</v>
      </c>
      <c r="O67" s="178">
        <f t="shared" si="91"/>
        <v>2.8961428571428565</v>
      </c>
      <c r="P67" s="178">
        <f t="shared" si="66"/>
        <v>5.0263636363636364</v>
      </c>
      <c r="Q67" s="223">
        <f t="shared" si="6"/>
        <v>0.12067261904761901</v>
      </c>
      <c r="R67" s="223">
        <f t="shared" si="67"/>
        <v>0.24134523809523803</v>
      </c>
      <c r="S67" s="454">
        <f t="shared" si="68"/>
        <v>24</v>
      </c>
      <c r="T67" s="223">
        <f t="shared" si="69"/>
        <v>0.81948996201844826</v>
      </c>
      <c r="U67" s="223">
        <f t="shared" si="10"/>
        <v>3.2096690179055885</v>
      </c>
      <c r="V67" s="223">
        <f t="shared" si="11"/>
        <v>1.588289823293487</v>
      </c>
      <c r="W67" s="203">
        <f t="shared" si="12"/>
        <v>350</v>
      </c>
      <c r="X67" s="454">
        <f t="shared" si="48"/>
        <v>208.42196298417733</v>
      </c>
      <c r="Z67" s="223">
        <f t="shared" si="13"/>
        <v>0.48799916151346817</v>
      </c>
      <c r="AA67" s="179">
        <f t="shared" si="14"/>
        <v>0.94581280788177335</v>
      </c>
      <c r="AB67" s="179">
        <f t="shared" si="70"/>
        <v>8.077227500912576E-2</v>
      </c>
      <c r="AC67" s="179"/>
      <c r="AD67" s="179">
        <f t="shared" si="16"/>
        <v>0.56206185567010303</v>
      </c>
      <c r="AE67" s="563">
        <f t="shared" si="71"/>
        <v>836.82040124471894</v>
      </c>
      <c r="AF67" s="546">
        <f t="shared" si="72"/>
        <v>2.8524639175257726E-2</v>
      </c>
      <c r="AH67" s="179">
        <f t="shared" si="73"/>
        <v>0.6163723660394107</v>
      </c>
      <c r="AI67" s="179">
        <f t="shared" si="74"/>
        <v>0.6163723660394107</v>
      </c>
      <c r="AJ67" s="179">
        <f t="shared" si="75"/>
        <v>1.4417573081773412</v>
      </c>
      <c r="AL67" s="563">
        <f t="shared" si="76"/>
        <v>68.2</v>
      </c>
      <c r="AM67" s="472">
        <f t="shared" si="77"/>
        <v>208.42196298417733</v>
      </c>
      <c r="AO67">
        <f t="shared" si="49"/>
        <v>68.2</v>
      </c>
      <c r="AP67">
        <f t="shared" si="24"/>
        <v>208.42196298417733</v>
      </c>
      <c r="AR67" s="6">
        <f t="shared" si="50"/>
        <v>4.7979588411990752</v>
      </c>
      <c r="AS67" s="6">
        <f t="shared" si="25"/>
        <v>2.4141251003210256</v>
      </c>
      <c r="AT67" s="6">
        <f t="shared" si="51"/>
        <v>2.3838337408780497</v>
      </c>
      <c r="AU67" s="179">
        <f t="shared" si="52"/>
        <v>0.50315669229828219</v>
      </c>
      <c r="AW67" s="6">
        <f t="shared" si="78"/>
        <v>0.6860138826745581</v>
      </c>
      <c r="AX67" s="6">
        <f t="shared" si="79"/>
        <v>2.494595936998393</v>
      </c>
      <c r="AY67" s="6">
        <f t="shared" si="28"/>
        <v>0.57044723202765957</v>
      </c>
      <c r="AZ67" s="6"/>
      <c r="BA67" s="179">
        <f t="shared" si="53"/>
        <v>0.25242604278428049</v>
      </c>
      <c r="BB67" s="179">
        <f t="shared" si="80"/>
        <v>0.25083737918541771</v>
      </c>
      <c r="BC67" s="179">
        <f t="shared" si="81"/>
        <v>0.45141420743943456</v>
      </c>
      <c r="BD67" s="179"/>
      <c r="BE67" s="546">
        <f t="shared" si="31"/>
        <v>2.2301617476505987E-2</v>
      </c>
      <c r="BF67" s="546">
        <f t="shared" si="32"/>
        <v>3.4926568268577554E-2</v>
      </c>
      <c r="BG67" s="546">
        <f t="shared" si="33"/>
        <v>2.6052745373022165E-3</v>
      </c>
      <c r="BH67" s="546">
        <f t="shared" si="34"/>
        <v>1.3693974286694778E-2</v>
      </c>
      <c r="BI67">
        <f t="shared" si="35"/>
        <v>3.48E-3</v>
      </c>
      <c r="BJ67">
        <f t="shared" si="82"/>
        <v>7.7607144590332314E-2</v>
      </c>
      <c r="BK67" s="472">
        <f t="shared" si="54"/>
        <v>77.607144590332311</v>
      </c>
      <c r="BL67" s="179">
        <f t="shared" si="83"/>
        <v>2.0459999999999999E-2</v>
      </c>
      <c r="BM67" s="179">
        <f t="shared" si="84"/>
        <v>3.7199999999999997E-2</v>
      </c>
      <c r="BN67" s="546"/>
      <c r="BP67" s="472">
        <f t="shared" si="55"/>
        <v>57.66</v>
      </c>
      <c r="BQ67" s="546">
        <f t="shared" si="39"/>
        <v>1.2743781415146281E-2</v>
      </c>
      <c r="BR67" s="546">
        <f t="shared" si="56"/>
        <v>1.2583878159321805E-2</v>
      </c>
      <c r="BS67" s="546">
        <f t="shared" si="85"/>
        <v>2.0377478667817289E-2</v>
      </c>
      <c r="BT67" s="546">
        <f t="shared" si="41"/>
        <v>9.3526914770913905E-3</v>
      </c>
      <c r="BU67" s="546">
        <f t="shared" si="86"/>
        <v>5.52598825651281E-2</v>
      </c>
      <c r="BV67" s="656">
        <f t="shared" si="87"/>
        <v>1.464878246049813E-2</v>
      </c>
      <c r="BW67" s="472">
        <f t="shared" si="57"/>
        <v>69.908665025626235</v>
      </c>
      <c r="BX67" s="179">
        <f t="shared" si="58"/>
        <v>0.20517580961595852</v>
      </c>
      <c r="BY67" s="6">
        <f t="shared" si="59"/>
        <v>3.1248</v>
      </c>
      <c r="BZ67" s="179">
        <f t="shared" si="60"/>
        <v>0.93838519516463959</v>
      </c>
      <c r="CA67" s="6">
        <f t="shared" si="61"/>
        <v>93.838519516463961</v>
      </c>
      <c r="CB67">
        <f t="shared" si="92"/>
        <v>62</v>
      </c>
      <c r="CD67" s="581">
        <f t="shared" si="88"/>
        <v>-50</v>
      </c>
      <c r="CE67">
        <f t="shared" si="89"/>
        <v>-50</v>
      </c>
    </row>
    <row r="68" spans="5:83" x14ac:dyDescent="0.2">
      <c r="E68" s="176">
        <v>63</v>
      </c>
      <c r="F68" s="223">
        <f t="shared" si="93"/>
        <v>6.93E-2</v>
      </c>
      <c r="G68" s="223">
        <f t="shared" si="90"/>
        <v>0.126</v>
      </c>
      <c r="H68" s="223">
        <f t="shared" si="65"/>
        <v>1.6632</v>
      </c>
      <c r="I68" s="223">
        <f t="shared" si="94"/>
        <v>1.512</v>
      </c>
      <c r="J68" s="559">
        <f t="shared" si="1"/>
        <v>12</v>
      </c>
      <c r="K68" s="454">
        <f t="shared" si="2"/>
        <v>24.25</v>
      </c>
      <c r="L68" s="454">
        <f t="shared" si="3"/>
        <v>36.25</v>
      </c>
      <c r="M68" s="454"/>
      <c r="N68" s="223">
        <f t="shared" si="4"/>
        <v>0.66896551724137931</v>
      </c>
      <c r="O68" s="178">
        <f t="shared" si="91"/>
        <v>2.8961428571428565</v>
      </c>
      <c r="P68" s="178">
        <f t="shared" si="66"/>
        <v>5.0263636363636364</v>
      </c>
      <c r="Q68" s="223">
        <f t="shared" si="6"/>
        <v>0.12067261904761901</v>
      </c>
      <c r="R68" s="223">
        <f t="shared" si="67"/>
        <v>0.24134523809523803</v>
      </c>
      <c r="S68" s="454">
        <f t="shared" si="68"/>
        <v>24</v>
      </c>
      <c r="T68" s="223">
        <f t="shared" si="69"/>
        <v>0.83270754205100395</v>
      </c>
      <c r="U68" s="223">
        <f t="shared" si="10"/>
        <v>3.2614378730330986</v>
      </c>
      <c r="V68" s="223">
        <f t="shared" si="11"/>
        <v>1.6139074010885437</v>
      </c>
      <c r="W68" s="203">
        <f t="shared" si="12"/>
        <v>350</v>
      </c>
      <c r="X68" s="454">
        <f t="shared" si="48"/>
        <v>205.11367785744432</v>
      </c>
      <c r="Z68" s="223">
        <f t="shared" si="13"/>
        <v>0.48799916151346817</v>
      </c>
      <c r="AA68" s="179">
        <f t="shared" si="14"/>
        <v>0.94581280788177335</v>
      </c>
      <c r="AB68" s="179">
        <f t="shared" si="70"/>
        <v>8.077227500912576E-2</v>
      </c>
      <c r="AC68" s="179"/>
      <c r="AD68" s="179">
        <f t="shared" si="16"/>
        <v>0.56206185567010303</v>
      </c>
      <c r="AE68" s="563">
        <f t="shared" si="71"/>
        <v>850.31750449060155</v>
      </c>
      <c r="AF68" s="546">
        <f t="shared" si="72"/>
        <v>2.8524639175257726E-2</v>
      </c>
      <c r="AH68" s="179">
        <f t="shared" si="73"/>
        <v>0.62132322762913783</v>
      </c>
      <c r="AI68" s="179">
        <f t="shared" si="74"/>
        <v>0.62132322762913783</v>
      </c>
      <c r="AJ68" s="179">
        <f t="shared" si="75"/>
        <v>1.4454246130586206</v>
      </c>
      <c r="AL68" s="563">
        <f t="shared" si="76"/>
        <v>69.3</v>
      </c>
      <c r="AM68" s="472">
        <f t="shared" si="77"/>
        <v>205.11367785744432</v>
      </c>
      <c r="AO68">
        <f t="shared" si="49"/>
        <v>69.3</v>
      </c>
      <c r="AP68">
        <f t="shared" si="24"/>
        <v>205.11367785744432</v>
      </c>
      <c r="AR68" s="6">
        <f t="shared" si="50"/>
        <v>4.8753452741216421</v>
      </c>
      <c r="AS68" s="6">
        <f t="shared" si="25"/>
        <v>2.4335159748807897</v>
      </c>
      <c r="AT68" s="6">
        <f t="shared" si="51"/>
        <v>2.4418292992408523</v>
      </c>
      <c r="AU68" s="179">
        <f t="shared" si="52"/>
        <v>0.49914741173264282</v>
      </c>
      <c r="AW68" s="6">
        <f t="shared" si="78"/>
        <v>0.70267773774682796</v>
      </c>
      <c r="AX68" s="6">
        <f t="shared" si="79"/>
        <v>2.5551917736248293</v>
      </c>
      <c r="AY68" s="6">
        <f t="shared" si="28"/>
        <v>0.59375007171014405</v>
      </c>
      <c r="AZ68" s="6"/>
      <c r="BA68" s="179">
        <f t="shared" si="53"/>
        <v>0.25343779068652006</v>
      </c>
      <c r="BB68" s="179">
        <f t="shared" si="80"/>
        <v>0.25387031594057125</v>
      </c>
      <c r="BC68" s="179">
        <f t="shared" si="81"/>
        <v>0.45687236820473864</v>
      </c>
      <c r="BD68" s="179"/>
      <c r="BE68" s="546">
        <f t="shared" si="31"/>
        <v>2.2480749811822524E-2</v>
      </c>
      <c r="BF68" s="546">
        <f t="shared" si="32"/>
        <v>3.4648264484632922E-2</v>
      </c>
      <c r="BG68" s="546">
        <f t="shared" si="33"/>
        <v>2.5639209732180538E-3</v>
      </c>
      <c r="BH68" s="546">
        <f t="shared" si="34"/>
        <v>1.3476609615477397E-2</v>
      </c>
      <c r="BI68">
        <f t="shared" si="35"/>
        <v>3.48E-3</v>
      </c>
      <c r="BJ68">
        <f t="shared" si="82"/>
        <v>7.7251300052318977E-2</v>
      </c>
      <c r="BK68" s="472">
        <f t="shared" si="54"/>
        <v>77.251300052318982</v>
      </c>
      <c r="BL68" s="179">
        <f t="shared" si="83"/>
        <v>2.0789999999999999E-2</v>
      </c>
      <c r="BM68" s="179">
        <f t="shared" si="84"/>
        <v>3.78E-2</v>
      </c>
      <c r="BN68" s="546"/>
      <c r="BP68" s="472">
        <f t="shared" si="55"/>
        <v>58.59</v>
      </c>
      <c r="BQ68" s="546">
        <f t="shared" si="39"/>
        <v>1.2846142749612871E-2</v>
      </c>
      <c r="BR68" s="546">
        <f t="shared" si="56"/>
        <v>1.2890027463153092E-2</v>
      </c>
      <c r="BS68" s="546">
        <f t="shared" si="85"/>
        <v>2.0873236082900631E-2</v>
      </c>
      <c r="BT68" s="546">
        <f t="shared" si="41"/>
        <v>9.1674918660781309E-3</v>
      </c>
      <c r="BU68" s="546">
        <f t="shared" si="86"/>
        <v>5.5985654812294741E-2</v>
      </c>
      <c r="BV68" s="656">
        <f t="shared" si="87"/>
        <v>1.4648782460498127E-2</v>
      </c>
      <c r="BW68" s="472">
        <f t="shared" si="57"/>
        <v>70.634437272792866</v>
      </c>
      <c r="BX68" s="179">
        <f t="shared" si="58"/>
        <v>0.20647573732511185</v>
      </c>
      <c r="BY68" s="6">
        <f t="shared" si="59"/>
        <v>3.1752000000000002</v>
      </c>
      <c r="BZ68" s="179">
        <f t="shared" si="60"/>
        <v>0.93894277471782883</v>
      </c>
      <c r="CA68" s="6">
        <f t="shared" si="61"/>
        <v>93.894277471782885</v>
      </c>
      <c r="CB68">
        <f t="shared" si="92"/>
        <v>63</v>
      </c>
      <c r="CD68" s="581">
        <f t="shared" si="88"/>
        <v>-50</v>
      </c>
      <c r="CE68">
        <f t="shared" si="89"/>
        <v>-50</v>
      </c>
    </row>
    <row r="69" spans="5:83" x14ac:dyDescent="0.2">
      <c r="E69" s="176">
        <v>64</v>
      </c>
      <c r="F69" s="223">
        <f t="shared" si="93"/>
        <v>7.0400000000000004E-2</v>
      </c>
      <c r="G69" s="223">
        <f t="shared" si="90"/>
        <v>0.128</v>
      </c>
      <c r="H69" s="223">
        <f t="shared" ref="H69:H105" si="95">F69*Vout</f>
        <v>1.6896</v>
      </c>
      <c r="I69" s="223">
        <f t="shared" si="94"/>
        <v>1.536</v>
      </c>
      <c r="J69" s="559">
        <f t="shared" ref="J69:J105" si="96">Vin</f>
        <v>12</v>
      </c>
      <c r="K69" s="454">
        <f t="shared" ref="K69:K105" si="97">(S69+Vfwd1)*Nps</f>
        <v>24.25</v>
      </c>
      <c r="L69" s="454">
        <f t="shared" ref="L69:L105" si="98">(Vout+Vfwd1)*Nps+J69</f>
        <v>36.25</v>
      </c>
      <c r="M69" s="454"/>
      <c r="N69" s="223">
        <f t="shared" ref="N69:N105" si="99">(Vout+Vfwd1)*Nps/((Vout+Vfwd1)*Nps+J69)</f>
        <v>0.66896551724137931</v>
      </c>
      <c r="O69" s="178">
        <f t="shared" si="91"/>
        <v>2.8961428571428565</v>
      </c>
      <c r="P69" s="178">
        <f t="shared" ref="P69:P105" si="100">N69*J69*Isw_max*0.5*Efficiency*(Pout2/Pout_total)</f>
        <v>5.0263636363636364</v>
      </c>
      <c r="Q69" s="223">
        <f t="shared" ref="Q69:Q105" si="101">O69/Vout</f>
        <v>0.12067261904761901</v>
      </c>
      <c r="R69" s="223">
        <f t="shared" ref="R69:R105" si="102">O69/Vout2</f>
        <v>0.24134523809523803</v>
      </c>
      <c r="S69" s="454">
        <f t="shared" ref="S69:S105" si="103">MIN(Vout,O69/F69)</f>
        <v>24</v>
      </c>
      <c r="T69" s="223">
        <f t="shared" ref="T69:T105" si="104">MIN(2*(Vout*F69+Vout2*G69)/(Efficiency*J69*N69), Isw_max)</f>
        <v>0.84592512208355952</v>
      </c>
      <c r="U69" s="223">
        <f t="shared" ref="U69:U105" si="105">L*T69/J69*1000000</f>
        <v>3.3132067281606083</v>
      </c>
      <c r="V69" s="223">
        <f t="shared" ref="V69:V105" si="106">L*T69/K69*1000000</f>
        <v>1.6395249788835999</v>
      </c>
      <c r="W69" s="203">
        <f t="shared" ref="W69:W105" si="107">IF(1/((350000*L)*(1/J69+1/K69))&gt;Isw_min, 350, 0.001/((Isw_min*L)*(1/J69+1/K69)))</f>
        <v>350</v>
      </c>
      <c r="X69" s="454">
        <f t="shared" si="48"/>
        <v>201.90877664092173</v>
      </c>
      <c r="Z69" s="223">
        <f t="shared" ref="Z69:Z105" si="108">1/((W69*1000*L)*(1/J69+1/K69))</f>
        <v>0.48799916151346817</v>
      </c>
      <c r="AA69" s="179">
        <f t="shared" ref="AA69:AA105" si="109">L*Z69/K69*1000000</f>
        <v>0.94581280788177335</v>
      </c>
      <c r="AB69" s="179">
        <f t="shared" ref="AB69:AB100" si="110">0.5*AA69*Z69*Nps*W69/1000*(Pout/Pout_total)</f>
        <v>8.077227500912576E-2</v>
      </c>
      <c r="AC69" s="179"/>
      <c r="AD69" s="179">
        <f t="shared" ref="AD69:AD105" si="111">L*Isw_min/K69*1000000</f>
        <v>0.56206185567010303</v>
      </c>
      <c r="AE69" s="563">
        <f t="shared" ref="AE69:AE100" si="112">MAX(10, F69/(0.5*AD69/1000000*Isw_min*Nps)/1000*Pout_total/Pout)</f>
        <v>863.81460773648405</v>
      </c>
      <c r="AF69" s="546">
        <f t="shared" ref="AF69:AF105" si="113">0.5*AD69/1000000*Isw_min*Nps*W69*1000*(Pout/Pout_total)</f>
        <v>2.8524639175257726E-2</v>
      </c>
      <c r="AH69" s="179">
        <f t="shared" ref="AH69:AH105" si="114">SQRT((H69+I69)/(0.5*L*Fsw_DCM))</f>
        <v>0.62623495013130459</v>
      </c>
      <c r="AI69" s="179">
        <f t="shared" ref="AI69:AI100" si="115">MAX(IF(F69&gt;AB69,T69,AH69),Isw_min)</f>
        <v>0.62623495013130459</v>
      </c>
      <c r="AJ69" s="179">
        <f t="shared" ref="AJ69:AJ100" si="116">IF(F69&gt;AF69, (AI69-Isw_min)/1.08*0.8+1.2, AE69*0.2/350+1)</f>
        <v>1.4490629260231886</v>
      </c>
      <c r="AL69" s="563">
        <f t="shared" ref="AL69:AL105" si="117">F69*1000</f>
        <v>70.400000000000006</v>
      </c>
      <c r="AM69" s="472">
        <f t="shared" ref="AM69:AM105" si="118">IF(F69&gt;AF69, X69, AE69)</f>
        <v>201.90877664092173</v>
      </c>
      <c r="AO69">
        <f t="shared" si="49"/>
        <v>70.400000000000006</v>
      </c>
      <c r="AP69">
        <f t="shared" ref="AP69:AP105" si="119">IF(H69&gt;O69, "",AM69)</f>
        <v>201.90877664092173</v>
      </c>
      <c r="AR69" s="6">
        <f t="shared" si="50"/>
        <v>4.9527317070442081</v>
      </c>
      <c r="AS69" s="6">
        <f t="shared" ref="AS69:AS105" si="120">L*AI69/J69*1000000</f>
        <v>2.4527535546809429</v>
      </c>
      <c r="AT69" s="6">
        <f t="shared" si="51"/>
        <v>2.4999781523632651</v>
      </c>
      <c r="AU69" s="179">
        <f t="shared" si="52"/>
        <v>0.49523246962730133</v>
      </c>
      <c r="AW69" s="6">
        <f t="shared" ref="AW69:AW105" si="121">F69*AS69/Vout_ripple*1000</f>
        <v>0.71947437603974329</v>
      </c>
      <c r="AX69" s="6">
        <f t="shared" ref="AX69:AX105" si="122">G69*AS69/Vout_ripple2*1000</f>
        <v>2.6162704583263392</v>
      </c>
      <c r="AY69" s="6">
        <f t="shared" ref="AY69:AY105" si="123">H69/Efficiency/J69*AT69/Vinripple1</f>
        <v>0.61753846289955738</v>
      </c>
      <c r="AZ69" s="6"/>
      <c r="BA69" s="179">
        <f t="shared" si="53"/>
        <v>0.25443756469407147</v>
      </c>
      <c r="BB69" s="179">
        <f t="shared" ref="BB69:BB105" si="124">AI69*Npri_sec1*SQRT((1-AU69)/3)*(Pout/Pout_total)</f>
        <v>0.25687531981073886</v>
      </c>
      <c r="BC69" s="179">
        <f t="shared" ref="BC69:BC105" si="125">AI69*Npri_sec2*SQRT((1-AU69)/3)*(Pout2/Pout_total)</f>
        <v>0.46228026014177498</v>
      </c>
      <c r="BD69" s="179"/>
      <c r="BE69" s="546">
        <f t="shared" ref="BE69:BE105" si="126">Rdson*BA69^2</f>
        <v>2.2658466014607432E-2</v>
      </c>
      <c r="BF69" s="546">
        <f t="shared" ref="BF69:BF105" si="127">0.5*L69*AI69*AM69*1000*Trise</f>
        <v>3.4376509194873839E-2</v>
      </c>
      <c r="BG69" s="546">
        <f t="shared" ref="BG69:BG105" si="128">Qg*Vdd*AM69*1000</f>
        <v>2.5238597080115212E-3</v>
      </c>
      <c r="BH69" s="546">
        <f t="shared" ref="BH69:BH105" si="129">0.5*(Coss+Csw)*L69^2*AM69*1000</f>
        <v>1.3266037590235563E-2</v>
      </c>
      <c r="BI69">
        <f t="shared" ref="BI69:BI105" si="130">J69*IQ</f>
        <v>3.48E-3</v>
      </c>
      <c r="BJ69">
        <f t="shared" ref="BJ69:BJ100" si="131">(BF69+BG69+BH69+BI69+BE69*(1+RdsonTC*(Ta-25)))/(1-BE69*RdsonTC*ThetaJA)</f>
        <v>7.6908694859100388E-2</v>
      </c>
      <c r="BK69" s="472">
        <f t="shared" si="54"/>
        <v>76.908694859100393</v>
      </c>
      <c r="BL69" s="179">
        <f t="shared" ref="BL69:BL105" si="132">Vfwd2*F69*(1+Diode_TC/1000*(Ta-25))</f>
        <v>2.112E-2</v>
      </c>
      <c r="BM69" s="179">
        <f t="shared" ref="BM69:BM105" si="133">Vfwd2*G69*(1+Diode_TC/1000*(Ta-25))</f>
        <v>3.8399999999999997E-2</v>
      </c>
      <c r="BN69" s="546"/>
      <c r="BP69" s="472">
        <f t="shared" si="55"/>
        <v>59.519999999999996</v>
      </c>
      <c r="BQ69" s="546">
        <f t="shared" ref="BQ69:BQ105" si="134">Rdcr_pri*BA69^2</f>
        <v>1.2947694865489962E-2</v>
      </c>
      <c r="BR69" s="546">
        <f t="shared" ref="BR69:BR105" si="135">Rdcr_sec*BB69^2</f>
        <v>1.3196985985573874E-2</v>
      </c>
      <c r="BS69" s="546">
        <f t="shared" ref="BS69:BS105" si="136">Rdcr_sec2*BC69^2</f>
        <v>2.1370303891674717E-2</v>
      </c>
      <c r="BT69" s="546">
        <f t="shared" ref="BT69:BT105" si="137">AI69^2.5*AM69^2.5*k_core</f>
        <v>8.9887903781124424E-3</v>
      </c>
      <c r="BU69" s="546">
        <f t="shared" ref="BU69:BU100" si="138">(BT69+(BQ69+BR69+BS69)*(1+Ltc*(Ta-25)))/(1-(BQ69+BR69+BS69)*Ltc*ThetaCa)</f>
        <v>5.6719376746509231E-2</v>
      </c>
      <c r="BV69" s="656">
        <f t="shared" ref="BV69:BV105" si="139">0.5*Lleak*0.000000001*AI69^2*AM69*1000</f>
        <v>1.4648782460498127E-2</v>
      </c>
      <c r="BW69" s="472">
        <f t="shared" si="57"/>
        <v>71.368159207007352</v>
      </c>
      <c r="BX69" s="179">
        <f t="shared" si="58"/>
        <v>0.20779685406610776</v>
      </c>
      <c r="BY69" s="6">
        <f t="shared" si="59"/>
        <v>3.2256</v>
      </c>
      <c r="BZ69" s="179">
        <f t="shared" si="60"/>
        <v>0.93947776417980411</v>
      </c>
      <c r="CA69" s="6">
        <f t="shared" si="61"/>
        <v>93.947776417980407</v>
      </c>
      <c r="CB69">
        <f t="shared" si="92"/>
        <v>64</v>
      </c>
      <c r="CD69" s="581">
        <f t="shared" ref="CD69:CD105" si="140">IF(ABS(F69-Ioutmax_Vinnom)&lt;Iout/200, AM69, -50)</f>
        <v>-50</v>
      </c>
      <c r="CE69">
        <f t="shared" ref="CE69:CE105" si="141">IF(ABS(F69-Ioutmax_Vinnom)&lt;Iout/200, (O69+P69)*BZ69, -50)</f>
        <v>-50</v>
      </c>
    </row>
    <row r="70" spans="5:83" x14ac:dyDescent="0.2">
      <c r="E70" s="176">
        <v>65</v>
      </c>
      <c r="F70" s="223">
        <f t="shared" si="93"/>
        <v>7.1500000000000008E-2</v>
      </c>
      <c r="G70" s="223">
        <f t="shared" ref="G70:G105" si="142">IF(PLOT_TYPE=1, E70/100*Iout2, min_I*EXP(Q70*rr/100))</f>
        <v>0.13</v>
      </c>
      <c r="H70" s="223">
        <f t="shared" si="95"/>
        <v>1.7160000000000002</v>
      </c>
      <c r="I70" s="223">
        <f t="shared" si="94"/>
        <v>1.56</v>
      </c>
      <c r="J70" s="559">
        <f t="shared" si="96"/>
        <v>12</v>
      </c>
      <c r="K70" s="454">
        <f t="shared" si="97"/>
        <v>24.25</v>
      </c>
      <c r="L70" s="454">
        <f t="shared" si="98"/>
        <v>36.25</v>
      </c>
      <c r="M70" s="454"/>
      <c r="N70" s="223">
        <f t="shared" si="99"/>
        <v>0.66896551724137931</v>
      </c>
      <c r="O70" s="178">
        <f t="shared" ref="O70:O101" si="143">N70*J70*Isw_max*0.5*Efficiency*Pout/(Pout+Pout2)</f>
        <v>2.8961428571428565</v>
      </c>
      <c r="P70" s="178">
        <f t="shared" si="100"/>
        <v>5.0263636363636364</v>
      </c>
      <c r="Q70" s="223">
        <f t="shared" si="101"/>
        <v>0.12067261904761901</v>
      </c>
      <c r="R70" s="223">
        <f t="shared" si="102"/>
        <v>0.24134523809523803</v>
      </c>
      <c r="S70" s="454">
        <f t="shared" si="103"/>
        <v>24</v>
      </c>
      <c r="T70" s="223">
        <f t="shared" si="104"/>
        <v>0.85914270211611521</v>
      </c>
      <c r="U70" s="223">
        <f t="shared" si="105"/>
        <v>3.3649755832881176</v>
      </c>
      <c r="V70" s="223">
        <f t="shared" si="106"/>
        <v>1.6651425566786562</v>
      </c>
      <c r="W70" s="203">
        <f t="shared" si="107"/>
        <v>350</v>
      </c>
      <c r="X70" s="454">
        <f t="shared" ref="X70:X105" si="144">MIN(1/(U70+V70)*1000, 350)</f>
        <v>198.80248776952291</v>
      </c>
      <c r="Z70" s="223">
        <f t="shared" si="108"/>
        <v>0.48799916151346817</v>
      </c>
      <c r="AA70" s="179">
        <f t="shared" si="109"/>
        <v>0.94581280788177335</v>
      </c>
      <c r="AB70" s="179">
        <f t="shared" si="110"/>
        <v>8.077227500912576E-2</v>
      </c>
      <c r="AC70" s="179"/>
      <c r="AD70" s="179">
        <f t="shared" si="111"/>
        <v>0.56206185567010303</v>
      </c>
      <c r="AE70" s="563">
        <f t="shared" si="112"/>
        <v>877.31171098236689</v>
      </c>
      <c r="AF70" s="546">
        <f t="shared" si="113"/>
        <v>2.8524639175257726E-2</v>
      </c>
      <c r="AH70" s="179">
        <f t="shared" si="114"/>
        <v>0.63110844736893323</v>
      </c>
      <c r="AI70" s="179">
        <f t="shared" si="115"/>
        <v>0.63110844736893323</v>
      </c>
      <c r="AJ70" s="179">
        <f t="shared" si="116"/>
        <v>1.4526729239769876</v>
      </c>
      <c r="AL70" s="563">
        <f t="shared" si="117"/>
        <v>71.500000000000014</v>
      </c>
      <c r="AM70" s="472">
        <f t="shared" si="118"/>
        <v>198.80248776952291</v>
      </c>
      <c r="AO70">
        <f t="shared" ref="AO70:AO105" si="145">IF(H70&gt;O70, "",AL70)</f>
        <v>71.500000000000014</v>
      </c>
      <c r="AP70">
        <f t="shared" si="119"/>
        <v>198.80248776952291</v>
      </c>
      <c r="AR70" s="6">
        <f t="shared" ref="AR70:AR133" si="146">1/AM70*1000</f>
        <v>5.030118139966774</v>
      </c>
      <c r="AS70" s="6">
        <f t="shared" si="120"/>
        <v>2.4718414188616546</v>
      </c>
      <c r="AT70" s="6">
        <f t="shared" ref="AT70:AT105" si="147">AR70-AS70</f>
        <v>2.5582767211051194</v>
      </c>
      <c r="AU70" s="179">
        <f t="shared" ref="AU70:AU105" si="148">AS70/AR70</f>
        <v>0.4914082234414443</v>
      </c>
      <c r="AW70" s="6">
        <f t="shared" si="121"/>
        <v>0.73640275603586802</v>
      </c>
      <c r="AX70" s="6">
        <f t="shared" si="122"/>
        <v>2.6778282037667926</v>
      </c>
      <c r="AY70" s="6">
        <f t="shared" si="123"/>
        <v>0.64181328266321414</v>
      </c>
      <c r="AZ70" s="6"/>
      <c r="BA70" s="179">
        <f t="shared" ref="BA70:BA105" si="149">AI70*SQRT(AU70/3)</f>
        <v>0.25542569033368306</v>
      </c>
      <c r="BB70" s="179">
        <f t="shared" si="124"/>
        <v>0.25985317809172542</v>
      </c>
      <c r="BC70" s="179">
        <f t="shared" si="125"/>
        <v>0.46763930009086019</v>
      </c>
      <c r="BD70" s="179"/>
      <c r="BE70" s="546">
        <f t="shared" si="126"/>
        <v>2.2834799148853495E-2</v>
      </c>
      <c r="BF70" s="546">
        <f t="shared" si="127"/>
        <v>3.4111049552717279E-2</v>
      </c>
      <c r="BG70" s="546">
        <f t="shared" si="128"/>
        <v>2.4850310971190363E-3</v>
      </c>
      <c r="BH70" s="546">
        <f t="shared" si="129"/>
        <v>1.3061944704231937E-2</v>
      </c>
      <c r="BI70">
        <f t="shared" si="130"/>
        <v>3.48E-3</v>
      </c>
      <c r="BJ70">
        <f t="shared" si="131"/>
        <v>7.6578735205915599E-2</v>
      </c>
      <c r="BK70" s="472">
        <f t="shared" ref="BK70:BK105" si="150">BJ70*1000</f>
        <v>76.578735205915592</v>
      </c>
      <c r="BL70" s="179">
        <f t="shared" si="132"/>
        <v>2.145E-2</v>
      </c>
      <c r="BM70" s="179">
        <f t="shared" si="133"/>
        <v>3.9E-2</v>
      </c>
      <c r="BN70" s="546"/>
      <c r="BP70" s="472">
        <f t="shared" ref="BP70:BP105" si="151">SUM(BL70:BO70)*1000</f>
        <v>60.45</v>
      </c>
      <c r="BQ70" s="546">
        <f t="shared" si="134"/>
        <v>1.3048456656487711E-2</v>
      </c>
      <c r="BR70" s="546">
        <f t="shared" si="135"/>
        <v>1.3504734832873995E-2</v>
      </c>
      <c r="BS70" s="546">
        <f t="shared" si="136"/>
        <v>2.186865149894696E-2</v>
      </c>
      <c r="BT70" s="546">
        <f t="shared" si="137"/>
        <v>8.816262737606384E-3</v>
      </c>
      <c r="BU70" s="546">
        <f t="shared" si="138"/>
        <v>5.7460693941919438E-2</v>
      </c>
      <c r="BV70" s="656">
        <f t="shared" si="139"/>
        <v>1.4648782460498125E-2</v>
      </c>
      <c r="BW70" s="472">
        <f t="shared" ref="BW70:BW105" si="152">(BU70+BV70)*1000</f>
        <v>72.10947640241757</v>
      </c>
      <c r="BX70" s="179">
        <f t="shared" ref="BX70:BX105" si="153">SUM(BJ70,BL70:BO70,BU70:BV70)</f>
        <v>0.20913821160833318</v>
      </c>
      <c r="BY70" s="6">
        <f t="shared" ref="BY70:BY105" si="154">MIN(H70+I70,O70+P70)</f>
        <v>3.2760000000000002</v>
      </c>
      <c r="BZ70" s="179">
        <f t="shared" ref="BZ70:BZ105" si="155">BY70/(BY70+BX70)</f>
        <v>0.93999141528685037</v>
      </c>
      <c r="CA70" s="6">
        <f t="shared" ref="CA70:CA105" si="156">BZ70*100</f>
        <v>93.999141528685044</v>
      </c>
      <c r="CB70">
        <f t="shared" ref="CB70:CB105" si="157">F70/Iout*100</f>
        <v>65</v>
      </c>
      <c r="CD70" s="581">
        <f t="shared" si="140"/>
        <v>-50</v>
      </c>
      <c r="CE70">
        <f t="shared" si="141"/>
        <v>-50</v>
      </c>
    </row>
    <row r="71" spans="5:83" x14ac:dyDescent="0.2">
      <c r="E71" s="176">
        <v>66</v>
      </c>
      <c r="F71" s="223">
        <f t="shared" si="93"/>
        <v>7.2599999999999998E-2</v>
      </c>
      <c r="G71" s="223">
        <f t="shared" si="142"/>
        <v>0.13200000000000001</v>
      </c>
      <c r="H71" s="223">
        <f t="shared" si="95"/>
        <v>1.7423999999999999</v>
      </c>
      <c r="I71" s="223">
        <f t="shared" si="94"/>
        <v>1.5840000000000001</v>
      </c>
      <c r="J71" s="559">
        <f t="shared" si="96"/>
        <v>12</v>
      </c>
      <c r="K71" s="454">
        <f t="shared" si="97"/>
        <v>24.25</v>
      </c>
      <c r="L71" s="454">
        <f t="shared" si="98"/>
        <v>36.25</v>
      </c>
      <c r="M71" s="454"/>
      <c r="N71" s="223">
        <f t="shared" si="99"/>
        <v>0.66896551724137931</v>
      </c>
      <c r="O71" s="178">
        <f t="shared" si="143"/>
        <v>2.8961428571428565</v>
      </c>
      <c r="P71" s="178">
        <f t="shared" si="100"/>
        <v>5.0263636363636364</v>
      </c>
      <c r="Q71" s="223">
        <f t="shared" si="101"/>
        <v>0.12067261904761901</v>
      </c>
      <c r="R71" s="223">
        <f t="shared" si="102"/>
        <v>0.24134523809523803</v>
      </c>
      <c r="S71" s="454">
        <f t="shared" si="103"/>
        <v>24</v>
      </c>
      <c r="T71" s="223">
        <f t="shared" si="104"/>
        <v>0.87236028214867078</v>
      </c>
      <c r="U71" s="223">
        <f t="shared" si="105"/>
        <v>3.4167444384156269</v>
      </c>
      <c r="V71" s="223">
        <f t="shared" si="106"/>
        <v>1.6907601344737124</v>
      </c>
      <c r="W71" s="203">
        <f t="shared" si="107"/>
        <v>350</v>
      </c>
      <c r="X71" s="454">
        <f t="shared" si="144"/>
        <v>195.79032886392412</v>
      </c>
      <c r="Z71" s="223">
        <f t="shared" si="108"/>
        <v>0.48799916151346817</v>
      </c>
      <c r="AA71" s="179">
        <f t="shared" si="109"/>
        <v>0.94581280788177335</v>
      </c>
      <c r="AB71" s="179">
        <f t="shared" si="110"/>
        <v>8.077227500912576E-2</v>
      </c>
      <c r="AC71" s="179"/>
      <c r="AD71" s="179">
        <f t="shared" si="111"/>
        <v>0.56206185567010303</v>
      </c>
      <c r="AE71" s="563">
        <f t="shared" si="112"/>
        <v>890.80881422824928</v>
      </c>
      <c r="AF71" s="546">
        <f t="shared" si="113"/>
        <v>2.8524639175257726E-2</v>
      </c>
      <c r="AH71" s="179">
        <f t="shared" si="114"/>
        <v>0.6359445981490004</v>
      </c>
      <c r="AI71" s="179">
        <f t="shared" si="115"/>
        <v>0.6359445981490004</v>
      </c>
      <c r="AJ71" s="179">
        <f t="shared" si="116"/>
        <v>1.4562552578881485</v>
      </c>
      <c r="AL71" s="563">
        <f t="shared" si="117"/>
        <v>72.599999999999994</v>
      </c>
      <c r="AM71" s="472">
        <f t="shared" si="118"/>
        <v>195.79032886392412</v>
      </c>
      <c r="AO71">
        <f t="shared" si="145"/>
        <v>72.599999999999994</v>
      </c>
      <c r="AP71">
        <f t="shared" si="119"/>
        <v>195.79032886392412</v>
      </c>
      <c r="AR71" s="6">
        <f t="shared" si="146"/>
        <v>5.1075045728893391</v>
      </c>
      <c r="AS71" s="6">
        <f t="shared" si="120"/>
        <v>2.4907830094169183</v>
      </c>
      <c r="AT71" s="6">
        <f t="shared" si="147"/>
        <v>2.6167215634724208</v>
      </c>
      <c r="AU71" s="179">
        <f t="shared" si="148"/>
        <v>0.48767122454241302</v>
      </c>
      <c r="AW71" s="6">
        <f t="shared" si="121"/>
        <v>0.75346186034861773</v>
      </c>
      <c r="AX71" s="6">
        <f t="shared" si="122"/>
        <v>2.7398613103586102</v>
      </c>
      <c r="AY71" s="6">
        <f t="shared" si="123"/>
        <v>0.66657538774771119</v>
      </c>
      <c r="AZ71" s="6"/>
      <c r="BA71" s="179">
        <f t="shared" si="149"/>
        <v>0.25640247943753902</v>
      </c>
      <c r="BB71" s="179">
        <f t="shared" si="124"/>
        <v>0.26280464070594384</v>
      </c>
      <c r="BC71" s="179">
        <f t="shared" si="125"/>
        <v>0.47295083763407331</v>
      </c>
      <c r="BD71" s="179"/>
      <c r="BE71" s="546">
        <f t="shared" si="126"/>
        <v>2.3009781011601164E-2</v>
      </c>
      <c r="BF71" s="546">
        <f t="shared" si="127"/>
        <v>3.3851646171694089E-2</v>
      </c>
      <c r="BG71" s="546">
        <f t="shared" si="128"/>
        <v>2.4473791107990513E-3</v>
      </c>
      <c r="BH71" s="546">
        <f t="shared" si="129"/>
        <v>1.2864036451137517E-2</v>
      </c>
      <c r="BI71">
        <f t="shared" si="130"/>
        <v>3.48E-3</v>
      </c>
      <c r="BJ71">
        <f t="shared" si="131"/>
        <v>7.6260862143335884E-2</v>
      </c>
      <c r="BK71" s="472">
        <f t="shared" si="150"/>
        <v>76.260862143335885</v>
      </c>
      <c r="BL71" s="179">
        <f t="shared" si="132"/>
        <v>2.1779999999999997E-2</v>
      </c>
      <c r="BM71" s="179">
        <f t="shared" si="133"/>
        <v>3.9600000000000003E-2</v>
      </c>
      <c r="BN71" s="546"/>
      <c r="BP71" s="472">
        <f t="shared" si="151"/>
        <v>61.38</v>
      </c>
      <c r="BQ71" s="546">
        <f t="shared" si="134"/>
        <v>1.3148446292343526E-2</v>
      </c>
      <c r="BR71" s="546">
        <f t="shared" si="135"/>
        <v>1.3813255835316047E-2</v>
      </c>
      <c r="BS71" s="546">
        <f t="shared" si="136"/>
        <v>2.2368249481877156E-2</v>
      </c>
      <c r="BT71" s="546">
        <f t="shared" si="137"/>
        <v>8.6496055103424986E-3</v>
      </c>
      <c r="BU71" s="546">
        <f t="shared" si="138"/>
        <v>5.8209273973345743E-2</v>
      </c>
      <c r="BV71" s="656">
        <f t="shared" si="139"/>
        <v>1.4648782460498125E-2</v>
      </c>
      <c r="BW71" s="472">
        <f t="shared" si="152"/>
        <v>72.858056433843871</v>
      </c>
      <c r="BX71" s="179">
        <f t="shared" si="153"/>
        <v>0.21049891857717973</v>
      </c>
      <c r="BY71" s="6">
        <f t="shared" si="154"/>
        <v>3.3264</v>
      </c>
      <c r="BZ71" s="179">
        <f t="shared" si="155"/>
        <v>0.94048489272012925</v>
      </c>
      <c r="CA71" s="6">
        <f t="shared" si="156"/>
        <v>94.04848927201293</v>
      </c>
      <c r="CB71">
        <f t="shared" si="157"/>
        <v>66</v>
      </c>
      <c r="CD71" s="581">
        <f t="shared" si="140"/>
        <v>-50</v>
      </c>
      <c r="CE71">
        <f t="shared" si="141"/>
        <v>-50</v>
      </c>
    </row>
    <row r="72" spans="5:83" x14ac:dyDescent="0.2">
      <c r="E72" s="176">
        <v>67</v>
      </c>
      <c r="F72" s="223">
        <f t="shared" ref="F72:F103" si="158">IF(PLOT_TYPE=1, E72/100*Iout_max, min_I*EXP(O72*rr/100))</f>
        <v>7.3700000000000002E-2</v>
      </c>
      <c r="G72" s="223">
        <f t="shared" si="142"/>
        <v>0.13400000000000001</v>
      </c>
      <c r="H72" s="223">
        <f t="shared" si="95"/>
        <v>1.7688000000000001</v>
      </c>
      <c r="I72" s="223">
        <f t="shared" ref="I72:I105" si="159">Vout2*G72</f>
        <v>1.6080000000000001</v>
      </c>
      <c r="J72" s="559">
        <f t="shared" si="96"/>
        <v>12</v>
      </c>
      <c r="K72" s="454">
        <f t="shared" si="97"/>
        <v>24.25</v>
      </c>
      <c r="L72" s="454">
        <f t="shared" si="98"/>
        <v>36.25</v>
      </c>
      <c r="M72" s="454"/>
      <c r="N72" s="223">
        <f t="shared" si="99"/>
        <v>0.66896551724137931</v>
      </c>
      <c r="O72" s="178">
        <f t="shared" si="143"/>
        <v>2.8961428571428565</v>
      </c>
      <c r="P72" s="178">
        <f t="shared" si="100"/>
        <v>5.0263636363636364</v>
      </c>
      <c r="Q72" s="223">
        <f t="shared" si="101"/>
        <v>0.12067261904761901</v>
      </c>
      <c r="R72" s="223">
        <f t="shared" si="102"/>
        <v>0.24134523809523803</v>
      </c>
      <c r="S72" s="454">
        <f t="shared" si="103"/>
        <v>24</v>
      </c>
      <c r="T72" s="223">
        <f t="shared" si="104"/>
        <v>0.88557786218122647</v>
      </c>
      <c r="U72" s="223">
        <f t="shared" si="105"/>
        <v>3.4685132935431366</v>
      </c>
      <c r="V72" s="223">
        <f t="shared" si="106"/>
        <v>1.7163777122687687</v>
      </c>
      <c r="W72" s="203">
        <f t="shared" si="107"/>
        <v>350</v>
      </c>
      <c r="X72" s="454">
        <f t="shared" si="144"/>
        <v>192.86808514953719</v>
      </c>
      <c r="Z72" s="223">
        <f t="shared" si="108"/>
        <v>0.48799916151346817</v>
      </c>
      <c r="AA72" s="179">
        <f t="shared" si="109"/>
        <v>0.94581280788177335</v>
      </c>
      <c r="AB72" s="179">
        <f t="shared" si="110"/>
        <v>8.077227500912576E-2</v>
      </c>
      <c r="AC72" s="179"/>
      <c r="AD72" s="179">
        <f t="shared" si="111"/>
        <v>0.56206185567010303</v>
      </c>
      <c r="AE72" s="563">
        <f t="shared" si="112"/>
        <v>904.30591747413166</v>
      </c>
      <c r="AF72" s="546">
        <f t="shared" si="113"/>
        <v>2.8524639175257726E-2</v>
      </c>
      <c r="AH72" s="179">
        <f t="shared" si="114"/>
        <v>0.6407442481125849</v>
      </c>
      <c r="AI72" s="179">
        <f t="shared" si="115"/>
        <v>0.6407442481125849</v>
      </c>
      <c r="AJ72" s="179">
        <f t="shared" si="116"/>
        <v>1.4598105541574702</v>
      </c>
      <c r="AL72" s="563">
        <f t="shared" si="117"/>
        <v>73.7</v>
      </c>
      <c r="AM72" s="472">
        <f t="shared" si="118"/>
        <v>192.86808514953719</v>
      </c>
      <c r="AO72">
        <f t="shared" si="145"/>
        <v>73.7</v>
      </c>
      <c r="AP72">
        <f t="shared" si="119"/>
        <v>192.86808514953719</v>
      </c>
      <c r="AR72" s="6">
        <f t="shared" si="146"/>
        <v>5.1848910058119042</v>
      </c>
      <c r="AS72" s="6">
        <f t="shared" si="120"/>
        <v>2.5095816384409573</v>
      </c>
      <c r="AT72" s="6">
        <f t="shared" si="147"/>
        <v>2.6753093673709469</v>
      </c>
      <c r="AU72" s="179">
        <f t="shared" si="148"/>
        <v>0.48401820513254568</v>
      </c>
      <c r="AW72" s="6">
        <f t="shared" si="121"/>
        <v>0.77065069480457737</v>
      </c>
      <c r="AX72" s="6">
        <f t="shared" si="122"/>
        <v>2.8023661629257361</v>
      </c>
      <c r="AY72" s="6">
        <f t="shared" si="123"/>
        <v>0.69182561535171516</v>
      </c>
      <c r="AZ72" s="6"/>
      <c r="BA72" s="179">
        <f t="shared" si="149"/>
        <v>0.25736823091705213</v>
      </c>
      <c r="BB72" s="179">
        <f t="shared" si="124"/>
        <v>0.26573042269264951</v>
      </c>
      <c r="BC72" s="179">
        <f t="shared" si="125"/>
        <v>0.47821615957675334</v>
      </c>
      <c r="BD72" s="179"/>
      <c r="BE72" s="546">
        <f t="shared" si="126"/>
        <v>2.3183442199880572E-2</v>
      </c>
      <c r="BF72" s="546">
        <f t="shared" si="127"/>
        <v>3.359807221797724E-2</v>
      </c>
      <c r="BG72" s="546">
        <f t="shared" si="128"/>
        <v>2.4108510643692147E-3</v>
      </c>
      <c r="BH72" s="546">
        <f t="shared" si="129"/>
        <v>1.2672035907090687E-2</v>
      </c>
      <c r="BI72">
        <f t="shared" si="130"/>
        <v>3.48E-3</v>
      </c>
      <c r="BJ72">
        <f t="shared" si="131"/>
        <v>7.5954549045843839E-2</v>
      </c>
      <c r="BK72" s="472">
        <f t="shared" si="150"/>
        <v>75.954549045843834</v>
      </c>
      <c r="BL72" s="179">
        <f t="shared" si="132"/>
        <v>2.2110000000000001E-2</v>
      </c>
      <c r="BM72" s="179">
        <f t="shared" si="133"/>
        <v>4.02E-2</v>
      </c>
      <c r="BN72" s="546"/>
      <c r="BP72" s="472">
        <f t="shared" si="151"/>
        <v>62.31</v>
      </c>
      <c r="BQ72" s="546">
        <f t="shared" si="134"/>
        <v>1.3247681257074616E-2</v>
      </c>
      <c r="BR72" s="546">
        <f t="shared" si="135"/>
        <v>1.4122531508882836E-2</v>
      </c>
      <c r="BS72" s="546">
        <f t="shared" si="136"/>
        <v>2.2869069528033883E-2</v>
      </c>
      <c r="BT72" s="546">
        <f t="shared" si="137"/>
        <v>8.4885344734714312E-3</v>
      </c>
      <c r="BU72" s="546">
        <f t="shared" si="138"/>
        <v>5.8964804725062159E-2</v>
      </c>
      <c r="BV72" s="656">
        <f t="shared" si="139"/>
        <v>1.4648782460498128E-2</v>
      </c>
      <c r="BW72" s="472">
        <f t="shared" si="152"/>
        <v>73.613587185560277</v>
      </c>
      <c r="BX72" s="179">
        <f t="shared" si="153"/>
        <v>0.21187813623140414</v>
      </c>
      <c r="BY72" s="6">
        <f t="shared" si="154"/>
        <v>3.3768000000000002</v>
      </c>
      <c r="BZ72" s="179">
        <f t="shared" si="155"/>
        <v>0.94095928133195461</v>
      </c>
      <c r="CA72" s="6">
        <f t="shared" si="156"/>
        <v>94.095928133195457</v>
      </c>
      <c r="CB72">
        <f t="shared" si="157"/>
        <v>67</v>
      </c>
      <c r="CD72" s="581">
        <f t="shared" si="140"/>
        <v>-50</v>
      </c>
      <c r="CE72">
        <f t="shared" si="141"/>
        <v>-50</v>
      </c>
    </row>
    <row r="73" spans="5:83" x14ac:dyDescent="0.2">
      <c r="E73" s="176">
        <v>68</v>
      </c>
      <c r="F73" s="223">
        <f t="shared" si="158"/>
        <v>7.4800000000000005E-2</v>
      </c>
      <c r="G73" s="223">
        <f t="shared" si="142"/>
        <v>0.13600000000000001</v>
      </c>
      <c r="H73" s="223">
        <f t="shared" si="95"/>
        <v>1.7952000000000001</v>
      </c>
      <c r="I73" s="223">
        <f t="shared" si="159"/>
        <v>1.6320000000000001</v>
      </c>
      <c r="J73" s="559">
        <f t="shared" si="96"/>
        <v>12</v>
      </c>
      <c r="K73" s="454">
        <f t="shared" si="97"/>
        <v>24.25</v>
      </c>
      <c r="L73" s="454">
        <f t="shared" si="98"/>
        <v>36.25</v>
      </c>
      <c r="M73" s="454"/>
      <c r="N73" s="223">
        <f t="shared" si="99"/>
        <v>0.66896551724137931</v>
      </c>
      <c r="O73" s="178">
        <f t="shared" si="143"/>
        <v>2.8961428571428565</v>
      </c>
      <c r="P73" s="178">
        <f t="shared" si="100"/>
        <v>5.0263636363636364</v>
      </c>
      <c r="Q73" s="223">
        <f t="shared" si="101"/>
        <v>0.12067261904761901</v>
      </c>
      <c r="R73" s="223">
        <f t="shared" si="102"/>
        <v>0.24134523809523803</v>
      </c>
      <c r="S73" s="454">
        <f t="shared" si="103"/>
        <v>24</v>
      </c>
      <c r="T73" s="223">
        <f t="shared" si="104"/>
        <v>0.89879544221378194</v>
      </c>
      <c r="U73" s="223">
        <f t="shared" si="105"/>
        <v>3.5202821486706455</v>
      </c>
      <c r="V73" s="223">
        <f t="shared" si="106"/>
        <v>1.7419952900638247</v>
      </c>
      <c r="W73" s="203">
        <f t="shared" si="107"/>
        <v>350</v>
      </c>
      <c r="X73" s="454">
        <f t="shared" si="144"/>
        <v>190.03178977969108</v>
      </c>
      <c r="Z73" s="223">
        <f t="shared" si="108"/>
        <v>0.48799916151346817</v>
      </c>
      <c r="AA73" s="179">
        <f t="shared" si="109"/>
        <v>0.94581280788177335</v>
      </c>
      <c r="AB73" s="179">
        <f t="shared" si="110"/>
        <v>8.077227500912576E-2</v>
      </c>
      <c r="AC73" s="179"/>
      <c r="AD73" s="179">
        <f t="shared" si="111"/>
        <v>0.56206185567010303</v>
      </c>
      <c r="AE73" s="563">
        <f t="shared" si="112"/>
        <v>917.8030207200145</v>
      </c>
      <c r="AF73" s="546">
        <f t="shared" si="113"/>
        <v>2.8524639175257726E-2</v>
      </c>
      <c r="AH73" s="179">
        <f t="shared" si="114"/>
        <v>0.64550821146119419</v>
      </c>
      <c r="AI73" s="179">
        <f t="shared" si="115"/>
        <v>0.64550821146119419</v>
      </c>
      <c r="AJ73" s="179">
        <f t="shared" si="116"/>
        <v>1.4633394158971809</v>
      </c>
      <c r="AL73" s="563">
        <f t="shared" si="117"/>
        <v>74.800000000000011</v>
      </c>
      <c r="AM73" s="472">
        <f t="shared" si="118"/>
        <v>190.03178977969108</v>
      </c>
      <c r="AO73">
        <f t="shared" si="145"/>
        <v>74.800000000000011</v>
      </c>
      <c r="AP73">
        <f t="shared" si="119"/>
        <v>190.03178977969108</v>
      </c>
      <c r="AR73" s="6">
        <f t="shared" si="146"/>
        <v>5.2622774387344702</v>
      </c>
      <c r="AS73" s="6">
        <f t="shared" si="120"/>
        <v>2.5282404948896771</v>
      </c>
      <c r="AT73" s="6">
        <f t="shared" si="147"/>
        <v>2.7340369438447931</v>
      </c>
      <c r="AU73" s="179">
        <f t="shared" si="148"/>
        <v>0.48044606623737723</v>
      </c>
      <c r="AW73" s="6">
        <f t="shared" si="121"/>
        <v>0.78796828757394932</v>
      </c>
      <c r="AX73" s="6">
        <f t="shared" si="122"/>
        <v>2.8653392275416341</v>
      </c>
      <c r="AY73" s="6">
        <f t="shared" si="123"/>
        <v>0.71756478385821243</v>
      </c>
      <c r="AZ73" s="6"/>
      <c r="BA73" s="179">
        <f t="shared" si="149"/>
        <v>0.25832323148209718</v>
      </c>
      <c r="BB73" s="179">
        <f t="shared" si="124"/>
        <v>0.26863120648562672</v>
      </c>
      <c r="BC73" s="179">
        <f t="shared" si="125"/>
        <v>0.48343649404648975</v>
      </c>
      <c r="BD73" s="179"/>
      <c r="BE73" s="546">
        <f t="shared" si="126"/>
        <v>2.3355812173173604E-2</v>
      </c>
      <c r="BF73" s="546">
        <f t="shared" si="127"/>
        <v>3.33501125765839E-2</v>
      </c>
      <c r="BG73" s="546">
        <f t="shared" si="128"/>
        <v>2.3753973722461384E-3</v>
      </c>
      <c r="BH73" s="546">
        <f t="shared" si="129"/>
        <v>1.2485682437868767E-2</v>
      </c>
      <c r="BI73">
        <f t="shared" si="130"/>
        <v>3.48E-3</v>
      </c>
      <c r="BJ73">
        <f t="shared" si="131"/>
        <v>7.5659299298781582E-2</v>
      </c>
      <c r="BK73" s="472">
        <f t="shared" si="150"/>
        <v>75.659299298781576</v>
      </c>
      <c r="BL73" s="179">
        <f t="shared" si="132"/>
        <v>2.2440000000000002E-2</v>
      </c>
      <c r="BM73" s="179">
        <f t="shared" si="133"/>
        <v>4.0800000000000003E-2</v>
      </c>
      <c r="BN73" s="546"/>
      <c r="BP73" s="472">
        <f t="shared" si="151"/>
        <v>63.24</v>
      </c>
      <c r="BQ73" s="546">
        <f t="shared" si="134"/>
        <v>1.3346178384670632E-2</v>
      </c>
      <c r="BR73" s="546">
        <f t="shared" si="135"/>
        <v>1.4432545019584684E-2</v>
      </c>
      <c r="BS73" s="546">
        <f t="shared" si="136"/>
        <v>2.3371084377596173E-2</v>
      </c>
      <c r="BT73" s="546">
        <f t="shared" si="137"/>
        <v>8.3327831350461564E-3</v>
      </c>
      <c r="BU73" s="546">
        <f t="shared" si="138"/>
        <v>5.9726992853204E-2</v>
      </c>
      <c r="BV73" s="656">
        <f t="shared" si="139"/>
        <v>1.4648782460498127E-2</v>
      </c>
      <c r="BW73" s="472">
        <f t="shared" si="152"/>
        <v>74.375775313702121</v>
      </c>
      <c r="BX73" s="179">
        <f t="shared" si="153"/>
        <v>0.21327507461248371</v>
      </c>
      <c r="BY73" s="6">
        <f t="shared" si="154"/>
        <v>3.4272</v>
      </c>
      <c r="BZ73" s="179">
        <f t="shared" si="155"/>
        <v>0.94141559267915442</v>
      </c>
      <c r="CA73" s="6">
        <f t="shared" si="156"/>
        <v>94.14155926791544</v>
      </c>
      <c r="CB73">
        <f t="shared" si="157"/>
        <v>68</v>
      </c>
      <c r="CD73" s="581">
        <f t="shared" si="140"/>
        <v>-50</v>
      </c>
      <c r="CE73">
        <f t="shared" si="141"/>
        <v>-50</v>
      </c>
    </row>
    <row r="74" spans="5:83" x14ac:dyDescent="0.2">
      <c r="E74" s="176">
        <v>69</v>
      </c>
      <c r="F74" s="223">
        <f t="shared" si="158"/>
        <v>7.5899999999999995E-2</v>
      </c>
      <c r="G74" s="223">
        <f t="shared" si="142"/>
        <v>0.13799999999999998</v>
      </c>
      <c r="H74" s="223">
        <f t="shared" si="95"/>
        <v>1.8215999999999999</v>
      </c>
      <c r="I74" s="223">
        <f t="shared" si="159"/>
        <v>1.6559999999999997</v>
      </c>
      <c r="J74" s="559">
        <f t="shared" si="96"/>
        <v>12</v>
      </c>
      <c r="K74" s="454">
        <f t="shared" si="97"/>
        <v>24.25</v>
      </c>
      <c r="L74" s="454">
        <f t="shared" si="98"/>
        <v>36.25</v>
      </c>
      <c r="M74" s="454"/>
      <c r="N74" s="223">
        <f t="shared" si="99"/>
        <v>0.66896551724137931</v>
      </c>
      <c r="O74" s="178">
        <f t="shared" si="143"/>
        <v>2.8961428571428565</v>
      </c>
      <c r="P74" s="178">
        <f t="shared" si="100"/>
        <v>5.0263636363636364</v>
      </c>
      <c r="Q74" s="223">
        <f t="shared" si="101"/>
        <v>0.12067261904761901</v>
      </c>
      <c r="R74" s="223">
        <f t="shared" si="102"/>
        <v>0.24134523809523803</v>
      </c>
      <c r="S74" s="454">
        <f t="shared" si="103"/>
        <v>24</v>
      </c>
      <c r="T74" s="223">
        <f t="shared" si="104"/>
        <v>0.91201302224633751</v>
      </c>
      <c r="U74" s="223">
        <f t="shared" si="105"/>
        <v>3.5720510037981552</v>
      </c>
      <c r="V74" s="223">
        <f t="shared" si="106"/>
        <v>1.7676128678588809</v>
      </c>
      <c r="W74" s="203">
        <f t="shared" si="107"/>
        <v>350</v>
      </c>
      <c r="X74" s="454">
        <f t="shared" si="144"/>
        <v>187.27770586984047</v>
      </c>
      <c r="Z74" s="223">
        <f t="shared" si="108"/>
        <v>0.48799916151346817</v>
      </c>
      <c r="AA74" s="179">
        <f t="shared" si="109"/>
        <v>0.94581280788177335</v>
      </c>
      <c r="AB74" s="179">
        <f t="shared" si="110"/>
        <v>8.077227500912576E-2</v>
      </c>
      <c r="AC74" s="179"/>
      <c r="AD74" s="179">
        <f t="shared" si="111"/>
        <v>0.56206185567010303</v>
      </c>
      <c r="AE74" s="563">
        <f t="shared" si="112"/>
        <v>931.30012396589689</v>
      </c>
      <c r="AF74" s="546">
        <f t="shared" si="113"/>
        <v>2.8524639175257726E-2</v>
      </c>
      <c r="AH74" s="179">
        <f t="shared" si="114"/>
        <v>0.65023727256925057</v>
      </c>
      <c r="AI74" s="179">
        <f t="shared" si="115"/>
        <v>0.65023727256925057</v>
      </c>
      <c r="AJ74" s="179">
        <f t="shared" si="116"/>
        <v>1.4668424241253708</v>
      </c>
      <c r="AL74" s="563">
        <f t="shared" si="117"/>
        <v>75.899999999999991</v>
      </c>
      <c r="AM74" s="472">
        <f t="shared" si="118"/>
        <v>187.27770586984047</v>
      </c>
      <c r="AO74">
        <f t="shared" si="145"/>
        <v>75.899999999999991</v>
      </c>
      <c r="AP74">
        <f t="shared" si="119"/>
        <v>187.27770586984047</v>
      </c>
      <c r="AR74" s="6">
        <f t="shared" si="146"/>
        <v>5.3396638716570362</v>
      </c>
      <c r="AS74" s="6">
        <f t="shared" si="120"/>
        <v>2.5467626508962313</v>
      </c>
      <c r="AT74" s="6">
        <f t="shared" si="147"/>
        <v>2.7929012207608048</v>
      </c>
      <c r="AU74" s="179">
        <f t="shared" si="148"/>
        <v>0.47695186665483963</v>
      </c>
      <c r="AW74" s="6">
        <f t="shared" si="121"/>
        <v>0.80541368834593319</v>
      </c>
      <c r="AX74" s="6">
        <f t="shared" si="122"/>
        <v>2.9287770485306654</v>
      </c>
      <c r="AY74" s="6">
        <f t="shared" si="123"/>
        <v>0.74379369352892988</v>
      </c>
      <c r="AZ74" s="6"/>
      <c r="BA74" s="179">
        <f t="shared" si="149"/>
        <v>0.25926775631027266</v>
      </c>
      <c r="BB74" s="179">
        <f t="shared" si="124"/>
        <v>0.27150764400031729</v>
      </c>
      <c r="BC74" s="179">
        <f t="shared" si="125"/>
        <v>0.48861301424917963</v>
      </c>
      <c r="BD74" s="179"/>
      <c r="BE74" s="546">
        <f t="shared" si="126"/>
        <v>2.3526919311757023E-2</v>
      </c>
      <c r="BF74" s="546">
        <f t="shared" si="127"/>
        <v>3.3107563084285412E-2</v>
      </c>
      <c r="BG74" s="546">
        <f t="shared" si="128"/>
        <v>2.3409713233730057E-3</v>
      </c>
      <c r="BH74" s="546">
        <f t="shared" si="129"/>
        <v>1.2304730518479363E-2</v>
      </c>
      <c r="BI74">
        <f t="shared" si="130"/>
        <v>3.48E-3</v>
      </c>
      <c r="BJ74">
        <f t="shared" si="131"/>
        <v>7.5374644181930656E-2</v>
      </c>
      <c r="BK74" s="472">
        <f t="shared" si="150"/>
        <v>75.374644181930663</v>
      </c>
      <c r="BL74" s="179">
        <f t="shared" si="132"/>
        <v>2.2769999999999999E-2</v>
      </c>
      <c r="BM74" s="179">
        <f t="shared" si="133"/>
        <v>4.1399999999999992E-2</v>
      </c>
      <c r="BN74" s="546"/>
      <c r="BP74" s="472">
        <f t="shared" si="151"/>
        <v>64.169999999999987</v>
      </c>
      <c r="BQ74" s="546">
        <f t="shared" si="134"/>
        <v>1.3443953892432588E-2</v>
      </c>
      <c r="BR74" s="546">
        <f t="shared" si="135"/>
        <v>1.4743280150120606E-2</v>
      </c>
      <c r="BS74" s="546">
        <f t="shared" si="136"/>
        <v>2.3874267769366905E-2</v>
      </c>
      <c r="BT74" s="546">
        <f t="shared" si="137"/>
        <v>8.1821013874091835E-3</v>
      </c>
      <c r="BU74" s="546">
        <f t="shared" si="138"/>
        <v>6.0495562385790159E-2</v>
      </c>
      <c r="BV74" s="656">
        <f t="shared" si="139"/>
        <v>1.4648782460498127E-2</v>
      </c>
      <c r="BW74" s="472">
        <f t="shared" si="152"/>
        <v>75.144344846288291</v>
      </c>
      <c r="BX74" s="179">
        <f t="shared" si="153"/>
        <v>0.21468898902821892</v>
      </c>
      <c r="BY74" s="6">
        <f t="shared" si="154"/>
        <v>3.4775999999999998</v>
      </c>
      <c r="BZ74" s="179">
        <f t="shared" si="155"/>
        <v>0.94185477093852188</v>
      </c>
      <c r="CA74" s="6">
        <f t="shared" si="156"/>
        <v>94.185477093852185</v>
      </c>
      <c r="CB74">
        <f t="shared" si="157"/>
        <v>69</v>
      </c>
      <c r="CD74" s="581">
        <f t="shared" si="140"/>
        <v>-50</v>
      </c>
      <c r="CE74">
        <f t="shared" si="141"/>
        <v>-50</v>
      </c>
    </row>
    <row r="75" spans="5:83" x14ac:dyDescent="0.2">
      <c r="E75" s="176">
        <v>70</v>
      </c>
      <c r="F75" s="223">
        <f t="shared" si="158"/>
        <v>7.6999999999999999E-2</v>
      </c>
      <c r="G75" s="223">
        <f t="shared" si="142"/>
        <v>0.13999999999999999</v>
      </c>
      <c r="H75" s="223">
        <f t="shared" si="95"/>
        <v>1.8479999999999999</v>
      </c>
      <c r="I75" s="223">
        <f t="shared" si="159"/>
        <v>1.6799999999999997</v>
      </c>
      <c r="J75" s="559">
        <f t="shared" si="96"/>
        <v>12</v>
      </c>
      <c r="K75" s="454">
        <f t="shared" si="97"/>
        <v>24.25</v>
      </c>
      <c r="L75" s="454">
        <f t="shared" si="98"/>
        <v>36.25</v>
      </c>
      <c r="M75" s="454"/>
      <c r="N75" s="223">
        <f t="shared" si="99"/>
        <v>0.66896551724137931</v>
      </c>
      <c r="O75" s="178">
        <f t="shared" si="143"/>
        <v>2.8961428571428565</v>
      </c>
      <c r="P75" s="178">
        <f t="shared" si="100"/>
        <v>5.0263636363636364</v>
      </c>
      <c r="Q75" s="223">
        <f t="shared" si="101"/>
        <v>0.12067261904761901</v>
      </c>
      <c r="R75" s="223">
        <f t="shared" si="102"/>
        <v>0.24134523809523803</v>
      </c>
      <c r="S75" s="454">
        <f t="shared" si="103"/>
        <v>24</v>
      </c>
      <c r="T75" s="223">
        <f t="shared" si="104"/>
        <v>0.92523060227889309</v>
      </c>
      <c r="U75" s="223">
        <f t="shared" si="105"/>
        <v>3.6238198589256641</v>
      </c>
      <c r="V75" s="223">
        <f t="shared" si="106"/>
        <v>1.793230445653937</v>
      </c>
      <c r="W75" s="203">
        <f t="shared" si="107"/>
        <v>350</v>
      </c>
      <c r="X75" s="454">
        <f t="shared" si="144"/>
        <v>184.60231007169992</v>
      </c>
      <c r="Z75" s="223">
        <f t="shared" si="108"/>
        <v>0.48799916151346817</v>
      </c>
      <c r="AA75" s="179">
        <f t="shared" si="109"/>
        <v>0.94581280788177335</v>
      </c>
      <c r="AB75" s="179">
        <f t="shared" si="110"/>
        <v>8.077227500912576E-2</v>
      </c>
      <c r="AC75" s="179"/>
      <c r="AD75" s="179">
        <f t="shared" si="111"/>
        <v>0.56206185567010303</v>
      </c>
      <c r="AE75" s="563">
        <f t="shared" si="112"/>
        <v>944.7972272117795</v>
      </c>
      <c r="AF75" s="546">
        <f t="shared" si="113"/>
        <v>2.8524639175257726E-2</v>
      </c>
      <c r="AH75" s="179">
        <f t="shared" si="114"/>
        <v>0.65493218749177839</v>
      </c>
      <c r="AI75" s="179">
        <f t="shared" si="115"/>
        <v>0.65493218749177839</v>
      </c>
      <c r="AJ75" s="179">
        <f t="shared" si="116"/>
        <v>1.4703201388827987</v>
      </c>
      <c r="AL75" s="563">
        <f t="shared" si="117"/>
        <v>77</v>
      </c>
      <c r="AM75" s="472">
        <f t="shared" si="118"/>
        <v>184.60231007169992</v>
      </c>
      <c r="AO75">
        <f t="shared" si="145"/>
        <v>77</v>
      </c>
      <c r="AP75">
        <f t="shared" si="119"/>
        <v>184.60231007169992</v>
      </c>
      <c r="AR75" s="6">
        <f t="shared" si="146"/>
        <v>5.4170503045796004</v>
      </c>
      <c r="AS75" s="6">
        <f t="shared" si="120"/>
        <v>2.565151067676132</v>
      </c>
      <c r="AT75" s="6">
        <f t="shared" si="147"/>
        <v>2.8518992369034684</v>
      </c>
      <c r="AU75" s="179">
        <f t="shared" si="148"/>
        <v>0.47353281277590148</v>
      </c>
      <c r="AW75" s="6">
        <f t="shared" si="121"/>
        <v>0.82298596754609232</v>
      </c>
      <c r="AX75" s="6">
        <f t="shared" si="122"/>
        <v>2.9926762456221536</v>
      </c>
      <c r="AY75" s="6">
        <f t="shared" si="123"/>
        <v>0.77051312716339304</v>
      </c>
      <c r="AZ75" s="6"/>
      <c r="BA75" s="179">
        <f t="shared" si="149"/>
        <v>0.26020206967033266</v>
      </c>
      <c r="BB75" s="179">
        <f t="shared" si="124"/>
        <v>0.27436035854971957</v>
      </c>
      <c r="BC75" s="179">
        <f t="shared" si="125"/>
        <v>0.49374684191693519</v>
      </c>
      <c r="BD75" s="179"/>
      <c r="BE75" s="546">
        <f t="shared" si="126"/>
        <v>2.3696790971253628E-2</v>
      </c>
      <c r="BF75" s="546">
        <f t="shared" si="127"/>
        <v>3.2870229823008051E-2</v>
      </c>
      <c r="BG75" s="546">
        <f t="shared" si="128"/>
        <v>2.3075288758962489E-3</v>
      </c>
      <c r="BH75" s="546">
        <f t="shared" si="129"/>
        <v>1.2128948653929661E-2</v>
      </c>
      <c r="BI75">
        <f t="shared" si="130"/>
        <v>3.48E-3</v>
      </c>
      <c r="BJ75">
        <f t="shared" si="131"/>
        <v>7.5100140930431242E-2</v>
      </c>
      <c r="BK75" s="472">
        <f t="shared" si="150"/>
        <v>75.100140930431238</v>
      </c>
      <c r="BL75" s="179">
        <f t="shared" si="132"/>
        <v>2.3099999999999999E-2</v>
      </c>
      <c r="BM75" s="179">
        <f t="shared" si="133"/>
        <v>4.1999999999999996E-2</v>
      </c>
      <c r="BN75" s="546"/>
      <c r="BP75" s="472">
        <f t="shared" si="151"/>
        <v>65.099999999999994</v>
      </c>
      <c r="BQ75" s="546">
        <f t="shared" si="134"/>
        <v>1.3541023412144932E-2</v>
      </c>
      <c r="BR75" s="546">
        <f t="shared" si="135"/>
        <v>1.5054721268706137E-2</v>
      </c>
      <c r="BS75" s="546">
        <f t="shared" si="136"/>
        <v>2.4378594390294699E-2</v>
      </c>
      <c r="BT75" s="546">
        <f t="shared" si="137"/>
        <v>8.0362542805951925E-3</v>
      </c>
      <c r="BU75" s="546">
        <f t="shared" si="138"/>
        <v>6.1270253446223784E-2</v>
      </c>
      <c r="BV75" s="656">
        <f t="shared" si="139"/>
        <v>1.4648782460498128E-2</v>
      </c>
      <c r="BW75" s="472">
        <f t="shared" si="152"/>
        <v>75.919035906721916</v>
      </c>
      <c r="BX75" s="179">
        <f t="shared" si="153"/>
        <v>0.21611917683715315</v>
      </c>
      <c r="BY75" s="6">
        <f t="shared" si="154"/>
        <v>3.5279999999999996</v>
      </c>
      <c r="BZ75" s="179">
        <f t="shared" si="155"/>
        <v>0.94227769827035257</v>
      </c>
      <c r="CA75" s="6">
        <f t="shared" si="156"/>
        <v>94.22776982703526</v>
      </c>
      <c r="CB75">
        <f t="shared" si="157"/>
        <v>70</v>
      </c>
      <c r="CD75" s="581">
        <f t="shared" si="140"/>
        <v>-50</v>
      </c>
      <c r="CE75">
        <f t="shared" si="141"/>
        <v>-50</v>
      </c>
    </row>
    <row r="76" spans="5:83" x14ac:dyDescent="0.2">
      <c r="E76" s="176">
        <v>71</v>
      </c>
      <c r="F76" s="223">
        <f t="shared" si="158"/>
        <v>7.8100000000000003E-2</v>
      </c>
      <c r="G76" s="223">
        <f t="shared" si="142"/>
        <v>0.14199999999999999</v>
      </c>
      <c r="H76" s="223">
        <f t="shared" si="95"/>
        <v>1.8744000000000001</v>
      </c>
      <c r="I76" s="223">
        <f t="shared" si="159"/>
        <v>1.7039999999999997</v>
      </c>
      <c r="J76" s="559">
        <f t="shared" si="96"/>
        <v>12</v>
      </c>
      <c r="K76" s="454">
        <f t="shared" si="97"/>
        <v>24.25</v>
      </c>
      <c r="L76" s="454">
        <f t="shared" si="98"/>
        <v>36.25</v>
      </c>
      <c r="M76" s="454"/>
      <c r="N76" s="223">
        <f t="shared" si="99"/>
        <v>0.66896551724137931</v>
      </c>
      <c r="O76" s="178">
        <f t="shared" si="143"/>
        <v>2.8961428571428565</v>
      </c>
      <c r="P76" s="178">
        <f t="shared" si="100"/>
        <v>5.0263636363636364</v>
      </c>
      <c r="Q76" s="223">
        <f t="shared" si="101"/>
        <v>0.12067261904761901</v>
      </c>
      <c r="R76" s="223">
        <f t="shared" si="102"/>
        <v>0.24134523809523803</v>
      </c>
      <c r="S76" s="454">
        <f t="shared" si="103"/>
        <v>24</v>
      </c>
      <c r="T76" s="223">
        <f t="shared" si="104"/>
        <v>0.93844818231144878</v>
      </c>
      <c r="U76" s="223">
        <f t="shared" si="105"/>
        <v>3.6755887140531742</v>
      </c>
      <c r="V76" s="223">
        <f t="shared" si="106"/>
        <v>1.8188480234489934</v>
      </c>
      <c r="W76" s="203">
        <f t="shared" si="107"/>
        <v>350</v>
      </c>
      <c r="X76" s="454">
        <f t="shared" si="144"/>
        <v>182.00227753547875</v>
      </c>
      <c r="Z76" s="223">
        <f t="shared" si="108"/>
        <v>0.48799916151346817</v>
      </c>
      <c r="AA76" s="179">
        <f t="shared" si="109"/>
        <v>0.94581280788177335</v>
      </c>
      <c r="AB76" s="179">
        <f t="shared" si="110"/>
        <v>8.077227500912576E-2</v>
      </c>
      <c r="AC76" s="179"/>
      <c r="AD76" s="179">
        <f t="shared" si="111"/>
        <v>0.56206185567010303</v>
      </c>
      <c r="AE76" s="563">
        <f t="shared" si="112"/>
        <v>958.294330457662</v>
      </c>
      <c r="AF76" s="546">
        <f t="shared" si="113"/>
        <v>2.8524639175257726E-2</v>
      </c>
      <c r="AH76" s="179">
        <f t="shared" si="114"/>
        <v>0.65959368537549989</v>
      </c>
      <c r="AI76" s="179">
        <f t="shared" si="115"/>
        <v>0.65959368537549989</v>
      </c>
      <c r="AJ76" s="179">
        <f t="shared" si="116"/>
        <v>1.473773100278148</v>
      </c>
      <c r="AL76" s="563">
        <f t="shared" si="117"/>
        <v>78.100000000000009</v>
      </c>
      <c r="AM76" s="472">
        <f t="shared" si="118"/>
        <v>182.00227753547875</v>
      </c>
      <c r="AO76">
        <f t="shared" si="145"/>
        <v>78.100000000000009</v>
      </c>
      <c r="AP76">
        <f t="shared" si="119"/>
        <v>182.00227753547875</v>
      </c>
      <c r="AR76" s="6">
        <f t="shared" si="146"/>
        <v>5.4944367375021681</v>
      </c>
      <c r="AS76" s="6">
        <f t="shared" si="120"/>
        <v>2.5834086010540411</v>
      </c>
      <c r="AT76" s="6">
        <f t="shared" si="147"/>
        <v>2.911028136448127</v>
      </c>
      <c r="AU76" s="179">
        <f t="shared" si="148"/>
        <v>0.47018624919658047</v>
      </c>
      <c r="AW76" s="6">
        <f t="shared" si="121"/>
        <v>0.84068421559300266</v>
      </c>
      <c r="AX76" s="6">
        <f t="shared" si="122"/>
        <v>3.0570335112472815</v>
      </c>
      <c r="AY76" s="6">
        <f t="shared" si="123"/>
        <v>0.7977238507249077</v>
      </c>
      <c r="AZ76" s="6"/>
      <c r="BA76" s="179">
        <f t="shared" si="149"/>
        <v>0.26112642550353465</v>
      </c>
      <c r="BB76" s="179">
        <f t="shared" si="124"/>
        <v>0.2771899466060983</v>
      </c>
      <c r="BC76" s="179">
        <f t="shared" si="125"/>
        <v>0.49883905047850718</v>
      </c>
      <c r="BD76" s="179"/>
      <c r="BE76" s="546">
        <f t="shared" si="126"/>
        <v>2.3865453533688564E-2</v>
      </c>
      <c r="BF76" s="546">
        <f t="shared" si="127"/>
        <v>3.2637928468166898E-2</v>
      </c>
      <c r="BG76" s="546">
        <f t="shared" si="128"/>
        <v>2.2750284691934845E-3</v>
      </c>
      <c r="BH76" s="546">
        <f t="shared" si="129"/>
        <v>1.1958118391198255E-2</v>
      </c>
      <c r="BI76">
        <f t="shared" si="130"/>
        <v>3.48E-3</v>
      </c>
      <c r="BJ76">
        <f t="shared" si="131"/>
        <v>7.4835370955886826E-2</v>
      </c>
      <c r="BK76" s="472">
        <f t="shared" si="150"/>
        <v>74.83537095588683</v>
      </c>
      <c r="BL76" s="179">
        <f t="shared" si="132"/>
        <v>2.3429999999999999E-2</v>
      </c>
      <c r="BM76" s="179">
        <f t="shared" si="133"/>
        <v>4.2599999999999992E-2</v>
      </c>
      <c r="BN76" s="546"/>
      <c r="BP76" s="472">
        <f t="shared" si="151"/>
        <v>66.029999999999987</v>
      </c>
      <c r="BQ76" s="546">
        <f t="shared" si="134"/>
        <v>1.3637402019250608E-2</v>
      </c>
      <c r="BR76" s="546">
        <f t="shared" si="135"/>
        <v>1.5366853299898326E-2</v>
      </c>
      <c r="BS76" s="546">
        <f t="shared" si="136"/>
        <v>2.4884039828229867E-2</v>
      </c>
      <c r="BT76" s="546">
        <f t="shared" si="137"/>
        <v>7.8950209035153155E-3</v>
      </c>
      <c r="BU76" s="546">
        <f t="shared" si="138"/>
        <v>6.2050821087767306E-2</v>
      </c>
      <c r="BV76" s="656">
        <f t="shared" si="139"/>
        <v>1.4648782460498123E-2</v>
      </c>
      <c r="BW76" s="472">
        <f t="shared" si="152"/>
        <v>76.699603548265429</v>
      </c>
      <c r="BX76" s="179">
        <f t="shared" si="153"/>
        <v>0.21756497450415224</v>
      </c>
      <c r="BY76" s="6">
        <f t="shared" si="154"/>
        <v>3.5783999999999998</v>
      </c>
      <c r="BZ76" s="179">
        <f t="shared" si="155"/>
        <v>0.94268519968823694</v>
      </c>
      <c r="CA76" s="6">
        <f t="shared" si="156"/>
        <v>94.268519968823696</v>
      </c>
      <c r="CB76">
        <f t="shared" si="157"/>
        <v>71.000000000000014</v>
      </c>
      <c r="CD76" s="581">
        <f t="shared" si="140"/>
        <v>-50</v>
      </c>
      <c r="CE76">
        <f t="shared" si="141"/>
        <v>-50</v>
      </c>
    </row>
    <row r="77" spans="5:83" x14ac:dyDescent="0.2">
      <c r="E77" s="176">
        <v>72</v>
      </c>
      <c r="F77" s="223">
        <f t="shared" si="158"/>
        <v>7.9199999999999993E-2</v>
      </c>
      <c r="G77" s="223">
        <f t="shared" si="142"/>
        <v>0.14399999999999999</v>
      </c>
      <c r="H77" s="223">
        <f t="shared" si="95"/>
        <v>1.9007999999999998</v>
      </c>
      <c r="I77" s="223">
        <f t="shared" si="159"/>
        <v>1.7279999999999998</v>
      </c>
      <c r="J77" s="559">
        <f t="shared" si="96"/>
        <v>12</v>
      </c>
      <c r="K77" s="454">
        <f t="shared" si="97"/>
        <v>24.25</v>
      </c>
      <c r="L77" s="454">
        <f t="shared" si="98"/>
        <v>36.25</v>
      </c>
      <c r="M77" s="454"/>
      <c r="N77" s="223">
        <f t="shared" si="99"/>
        <v>0.66896551724137931</v>
      </c>
      <c r="O77" s="178">
        <f t="shared" si="143"/>
        <v>2.8961428571428565</v>
      </c>
      <c r="P77" s="178">
        <f t="shared" si="100"/>
        <v>5.0263636363636364</v>
      </c>
      <c r="Q77" s="223">
        <f t="shared" si="101"/>
        <v>0.12067261904761901</v>
      </c>
      <c r="R77" s="223">
        <f t="shared" si="102"/>
        <v>0.24134523809523803</v>
      </c>
      <c r="S77" s="454">
        <f t="shared" si="103"/>
        <v>24</v>
      </c>
      <c r="T77" s="223">
        <f t="shared" si="104"/>
        <v>0.95166576234400435</v>
      </c>
      <c r="U77" s="223">
        <f t="shared" si="105"/>
        <v>3.7273575691806835</v>
      </c>
      <c r="V77" s="223">
        <f t="shared" si="106"/>
        <v>1.8444656012440495</v>
      </c>
      <c r="W77" s="203">
        <f t="shared" si="107"/>
        <v>350</v>
      </c>
      <c r="X77" s="454">
        <f t="shared" si="144"/>
        <v>179.4744681252638</v>
      </c>
      <c r="Z77" s="223">
        <f t="shared" si="108"/>
        <v>0.48799916151346817</v>
      </c>
      <c r="AA77" s="179">
        <f t="shared" si="109"/>
        <v>0.94581280788177335</v>
      </c>
      <c r="AB77" s="179">
        <f t="shared" si="110"/>
        <v>8.077227500912576E-2</v>
      </c>
      <c r="AC77" s="179"/>
      <c r="AD77" s="179">
        <f t="shared" si="111"/>
        <v>0.56206185567010303</v>
      </c>
      <c r="AE77" s="563">
        <f t="shared" si="112"/>
        <v>971.7914337035445</v>
      </c>
      <c r="AF77" s="546">
        <f t="shared" si="113"/>
        <v>2.8524639175257726E-2</v>
      </c>
      <c r="AH77" s="179">
        <f t="shared" si="114"/>
        <v>0.66422246978079724</v>
      </c>
      <c r="AI77" s="179">
        <f t="shared" si="115"/>
        <v>0.66422246978079724</v>
      </c>
      <c r="AJ77" s="179">
        <f t="shared" si="116"/>
        <v>1.4772018294672571</v>
      </c>
      <c r="AL77" s="563">
        <f t="shared" si="117"/>
        <v>79.199999999999989</v>
      </c>
      <c r="AM77" s="472">
        <f t="shared" si="118"/>
        <v>179.4744681252638</v>
      </c>
      <c r="AO77">
        <f t="shared" si="145"/>
        <v>79.199999999999989</v>
      </c>
      <c r="AP77">
        <f t="shared" si="119"/>
        <v>179.4744681252638</v>
      </c>
      <c r="AR77" s="6">
        <f t="shared" si="146"/>
        <v>5.5718231704247323</v>
      </c>
      <c r="AS77" s="6">
        <f t="shared" si="120"/>
        <v>2.601538006641456</v>
      </c>
      <c r="AT77" s="6">
        <f t="shared" si="147"/>
        <v>2.9702851637832763</v>
      </c>
      <c r="AU77" s="179">
        <f t="shared" si="148"/>
        <v>0.46690965004963436</v>
      </c>
      <c r="AW77" s="6">
        <f t="shared" si="121"/>
        <v>0.85850754219168035</v>
      </c>
      <c r="AX77" s="6">
        <f t="shared" si="122"/>
        <v>3.121845607969747</v>
      </c>
      <c r="AY77" s="6">
        <f t="shared" si="123"/>
        <v>0.82542661393556294</v>
      </c>
      <c r="AZ77" s="6"/>
      <c r="BA77" s="179">
        <f t="shared" si="149"/>
        <v>0.262041067966295</v>
      </c>
      <c r="BB77" s="179">
        <f t="shared" si="124"/>
        <v>0.27999697942356017</v>
      </c>
      <c r="BC77" s="179">
        <f t="shared" si="125"/>
        <v>0.50389066797931992</v>
      </c>
      <c r="BD77" s="179"/>
      <c r="BE77" s="546">
        <f t="shared" si="126"/>
        <v>2.4032932455320753E-2</v>
      </c>
      <c r="BF77" s="546">
        <f t="shared" si="127"/>
        <v>3.2410483686955989E-2</v>
      </c>
      <c r="BG77" s="546">
        <f t="shared" si="128"/>
        <v>2.2434308515657973E-3</v>
      </c>
      <c r="BH77" s="546">
        <f t="shared" si="129"/>
        <v>1.1792033413542723E-2</v>
      </c>
      <c r="BI77">
        <f t="shared" si="130"/>
        <v>3.48E-3</v>
      </c>
      <c r="BJ77">
        <f t="shared" si="131"/>
        <v>7.457993821237674E-2</v>
      </c>
      <c r="BK77" s="472">
        <f t="shared" si="150"/>
        <v>74.579938212376746</v>
      </c>
      <c r="BL77" s="179">
        <f t="shared" si="132"/>
        <v>2.3759999999999996E-2</v>
      </c>
      <c r="BM77" s="179">
        <f t="shared" si="133"/>
        <v>4.3199999999999995E-2</v>
      </c>
      <c r="BN77" s="546"/>
      <c r="BP77" s="472">
        <f t="shared" si="151"/>
        <v>66.959999999999994</v>
      </c>
      <c r="BQ77" s="546">
        <f t="shared" si="134"/>
        <v>1.3733104260183288E-2</v>
      </c>
      <c r="BR77" s="546">
        <f t="shared" si="135"/>
        <v>1.5679661697263515E-2</v>
      </c>
      <c r="BS77" s="546">
        <f t="shared" si="136"/>
        <v>2.5390580527664526E-2</v>
      </c>
      <c r="BT77" s="546">
        <f t="shared" si="137"/>
        <v>7.7581933620898599E-3</v>
      </c>
      <c r="BU77" s="546">
        <f t="shared" si="138"/>
        <v>6.2837034227912314E-2</v>
      </c>
      <c r="BV77" s="656">
        <f t="shared" si="139"/>
        <v>1.4648782460498125E-2</v>
      </c>
      <c r="BW77" s="472">
        <f t="shared" si="152"/>
        <v>77.485816688410438</v>
      </c>
      <c r="BX77" s="179">
        <f t="shared" si="153"/>
        <v>0.21902575490078718</v>
      </c>
      <c r="BY77" s="6">
        <f t="shared" si="154"/>
        <v>3.6287999999999996</v>
      </c>
      <c r="BZ77" s="179">
        <f t="shared" si="155"/>
        <v>0.9430780474864735</v>
      </c>
      <c r="CA77" s="6">
        <f t="shared" si="156"/>
        <v>94.307804748647357</v>
      </c>
      <c r="CB77">
        <f t="shared" si="157"/>
        <v>72</v>
      </c>
      <c r="CD77" s="581">
        <f t="shared" si="140"/>
        <v>-50</v>
      </c>
      <c r="CE77">
        <f t="shared" si="141"/>
        <v>-50</v>
      </c>
    </row>
    <row r="78" spans="5:83" x14ac:dyDescent="0.2">
      <c r="E78" s="176">
        <v>73</v>
      </c>
      <c r="F78" s="223">
        <f t="shared" si="158"/>
        <v>8.0299999999999996E-2</v>
      </c>
      <c r="G78" s="223">
        <f t="shared" si="142"/>
        <v>0.14599999999999999</v>
      </c>
      <c r="H78" s="223">
        <f t="shared" si="95"/>
        <v>1.9272</v>
      </c>
      <c r="I78" s="223">
        <f t="shared" si="159"/>
        <v>1.7519999999999998</v>
      </c>
      <c r="J78" s="559">
        <f t="shared" si="96"/>
        <v>12</v>
      </c>
      <c r="K78" s="454">
        <f t="shared" si="97"/>
        <v>24.25</v>
      </c>
      <c r="L78" s="454">
        <f t="shared" si="98"/>
        <v>36.25</v>
      </c>
      <c r="M78" s="454"/>
      <c r="N78" s="223">
        <f t="shared" si="99"/>
        <v>0.66896551724137931</v>
      </c>
      <c r="O78" s="178">
        <f t="shared" si="143"/>
        <v>2.8961428571428565</v>
      </c>
      <c r="P78" s="178">
        <f t="shared" si="100"/>
        <v>5.0263636363636364</v>
      </c>
      <c r="Q78" s="223">
        <f t="shared" si="101"/>
        <v>0.12067261904761901</v>
      </c>
      <c r="R78" s="223">
        <f t="shared" si="102"/>
        <v>0.24134523809523803</v>
      </c>
      <c r="S78" s="454">
        <f t="shared" si="103"/>
        <v>24</v>
      </c>
      <c r="T78" s="223">
        <f t="shared" si="104"/>
        <v>0.96488334237656004</v>
      </c>
      <c r="U78" s="223">
        <f t="shared" si="105"/>
        <v>3.7791264243081932</v>
      </c>
      <c r="V78" s="223">
        <f t="shared" si="106"/>
        <v>1.8700831790391059</v>
      </c>
      <c r="W78" s="203">
        <f t="shared" si="107"/>
        <v>350</v>
      </c>
      <c r="X78" s="454">
        <f t="shared" si="144"/>
        <v>177.01591376738347</v>
      </c>
      <c r="Z78" s="223">
        <f t="shared" si="108"/>
        <v>0.48799916151346817</v>
      </c>
      <c r="AA78" s="179">
        <f t="shared" si="109"/>
        <v>0.94581280788177335</v>
      </c>
      <c r="AB78" s="179">
        <f t="shared" si="110"/>
        <v>8.077227500912576E-2</v>
      </c>
      <c r="AC78" s="179"/>
      <c r="AD78" s="179">
        <f t="shared" si="111"/>
        <v>0.56206185567010303</v>
      </c>
      <c r="AE78" s="563">
        <f t="shared" si="112"/>
        <v>985.288536949427</v>
      </c>
      <c r="AF78" s="546">
        <f t="shared" si="113"/>
        <v>2.8524639175257726E-2</v>
      </c>
      <c r="AH78" s="179">
        <f t="shared" si="114"/>
        <v>0.66881921992132543</v>
      </c>
      <c r="AI78" s="179">
        <f t="shared" si="115"/>
        <v>0.66881921992132543</v>
      </c>
      <c r="AJ78" s="179">
        <f t="shared" si="116"/>
        <v>1.4806068295713521</v>
      </c>
      <c r="AL78" s="563">
        <f t="shared" si="117"/>
        <v>80.3</v>
      </c>
      <c r="AM78" s="472">
        <f t="shared" si="118"/>
        <v>177.01591376738347</v>
      </c>
      <c r="AO78">
        <f t="shared" si="145"/>
        <v>80.3</v>
      </c>
      <c r="AP78">
        <f t="shared" si="119"/>
        <v>177.01591376738347</v>
      </c>
      <c r="AR78" s="6">
        <f t="shared" si="146"/>
        <v>5.6492096033472992</v>
      </c>
      <c r="AS78" s="6">
        <f t="shared" si="120"/>
        <v>2.619541944691858</v>
      </c>
      <c r="AT78" s="6">
        <f t="shared" si="147"/>
        <v>3.0296676586554412</v>
      </c>
      <c r="AU78" s="179">
        <f t="shared" si="148"/>
        <v>0.46370061099161791</v>
      </c>
      <c r="AW78" s="6">
        <f t="shared" si="121"/>
        <v>0.87645507566148406</v>
      </c>
      <c r="AX78" s="6">
        <f t="shared" si="122"/>
        <v>3.1871093660417604</v>
      </c>
      <c r="AY78" s="6">
        <f t="shared" si="123"/>
        <v>0.85362215084221715</v>
      </c>
      <c r="AZ78" s="6"/>
      <c r="BA78" s="179">
        <f t="shared" si="149"/>
        <v>0.26294623193722372</v>
      </c>
      <c r="BB78" s="179">
        <f t="shared" si="124"/>
        <v>0.28278200453483454</v>
      </c>
      <c r="BC78" s="179">
        <f t="shared" si="125"/>
        <v>0.50890267977511972</v>
      </c>
      <c r="BD78" s="179"/>
      <c r="BE78" s="546">
        <f t="shared" si="126"/>
        <v>2.4199252311494487E-2</v>
      </c>
      <c r="BF78" s="546">
        <f t="shared" si="127"/>
        <v>3.2187728582130926E-2</v>
      </c>
      <c r="BG78" s="546">
        <f t="shared" si="128"/>
        <v>2.2126989220922931E-3</v>
      </c>
      <c r="BH78" s="546">
        <f t="shared" si="129"/>
        <v>1.1630498709247618E-2</v>
      </c>
      <c r="BI78">
        <f t="shared" si="130"/>
        <v>3.48E-3</v>
      </c>
      <c r="BJ78">
        <f t="shared" si="131"/>
        <v>7.4333467693743868E-2</v>
      </c>
      <c r="BK78" s="472">
        <f t="shared" si="150"/>
        <v>74.33346769374387</v>
      </c>
      <c r="BL78" s="179">
        <f t="shared" si="132"/>
        <v>2.4089999999999997E-2</v>
      </c>
      <c r="BM78" s="179">
        <f t="shared" si="133"/>
        <v>4.3799999999999999E-2</v>
      </c>
      <c r="BN78" s="546"/>
      <c r="BP78" s="472">
        <f t="shared" si="151"/>
        <v>67.889999999999986</v>
      </c>
      <c r="BQ78" s="546">
        <f t="shared" si="134"/>
        <v>1.3828144177996852E-2</v>
      </c>
      <c r="BR78" s="546">
        <f t="shared" si="135"/>
        <v>1.599313241774784E-2</v>
      </c>
      <c r="BS78" s="546">
        <f t="shared" si="136"/>
        <v>2.5898193748229804E-2</v>
      </c>
      <c r="BT78" s="546">
        <f t="shared" si="137"/>
        <v>7.6255758447173498E-3</v>
      </c>
      <c r="BU78" s="546">
        <f t="shared" si="138"/>
        <v>6.3628674672808486E-2</v>
      </c>
      <c r="BV78" s="656">
        <f t="shared" si="139"/>
        <v>1.4648782460498127E-2</v>
      </c>
      <c r="BW78" s="472">
        <f t="shared" si="152"/>
        <v>78.277457133306612</v>
      </c>
      <c r="BX78" s="179">
        <f t="shared" si="153"/>
        <v>0.2205009248270505</v>
      </c>
      <c r="BY78" s="6">
        <f t="shared" si="154"/>
        <v>3.6791999999999998</v>
      </c>
      <c r="BZ78" s="179">
        <f t="shared" si="155"/>
        <v>0.94345696527052791</v>
      </c>
      <c r="CA78" s="6">
        <f t="shared" si="156"/>
        <v>94.345696527052795</v>
      </c>
      <c r="CB78">
        <f t="shared" si="157"/>
        <v>73</v>
      </c>
      <c r="CD78" s="581">
        <f t="shared" si="140"/>
        <v>-50</v>
      </c>
      <c r="CE78">
        <f t="shared" si="141"/>
        <v>-50</v>
      </c>
    </row>
    <row r="79" spans="5:83" x14ac:dyDescent="0.2">
      <c r="E79" s="176">
        <v>74</v>
      </c>
      <c r="F79" s="223">
        <f t="shared" si="158"/>
        <v>8.14E-2</v>
      </c>
      <c r="G79" s="223">
        <f t="shared" si="142"/>
        <v>0.14799999999999999</v>
      </c>
      <c r="H79" s="223">
        <f t="shared" si="95"/>
        <v>1.9536</v>
      </c>
      <c r="I79" s="223">
        <f t="shared" si="159"/>
        <v>1.7759999999999998</v>
      </c>
      <c r="J79" s="559">
        <f t="shared" si="96"/>
        <v>12</v>
      </c>
      <c r="K79" s="454">
        <f t="shared" si="97"/>
        <v>24.25</v>
      </c>
      <c r="L79" s="454">
        <f t="shared" si="98"/>
        <v>36.25</v>
      </c>
      <c r="M79" s="454"/>
      <c r="N79" s="223">
        <f t="shared" si="99"/>
        <v>0.66896551724137931</v>
      </c>
      <c r="O79" s="178">
        <f t="shared" si="143"/>
        <v>2.8961428571428565</v>
      </c>
      <c r="P79" s="178">
        <f t="shared" si="100"/>
        <v>5.0263636363636364</v>
      </c>
      <c r="Q79" s="223">
        <f t="shared" si="101"/>
        <v>0.12067261904761901</v>
      </c>
      <c r="R79" s="223">
        <f t="shared" si="102"/>
        <v>0.24134523809523803</v>
      </c>
      <c r="S79" s="454">
        <f t="shared" si="103"/>
        <v>24</v>
      </c>
      <c r="T79" s="223">
        <f t="shared" si="104"/>
        <v>0.97810092240911561</v>
      </c>
      <c r="U79" s="223">
        <f t="shared" si="105"/>
        <v>3.830895279435703</v>
      </c>
      <c r="V79" s="223">
        <f t="shared" si="106"/>
        <v>1.8957007568341622</v>
      </c>
      <c r="W79" s="203">
        <f t="shared" si="107"/>
        <v>350</v>
      </c>
      <c r="X79" s="454">
        <f t="shared" si="144"/>
        <v>174.62380682458098</v>
      </c>
      <c r="Z79" s="223">
        <f t="shared" si="108"/>
        <v>0.48799916151346817</v>
      </c>
      <c r="AA79" s="179">
        <f t="shared" si="109"/>
        <v>0.94581280788177335</v>
      </c>
      <c r="AB79" s="179">
        <f t="shared" si="110"/>
        <v>8.077227500912576E-2</v>
      </c>
      <c r="AC79" s="179"/>
      <c r="AD79" s="179">
        <f t="shared" si="111"/>
        <v>0.56206185567010303</v>
      </c>
      <c r="AE79" s="563">
        <f t="shared" si="112"/>
        <v>998.78564019530984</v>
      </c>
      <c r="AF79" s="546">
        <f t="shared" si="113"/>
        <v>2.8524639175257726E-2</v>
      </c>
      <c r="AH79" s="179">
        <f t="shared" si="114"/>
        <v>0.67338459182746246</v>
      </c>
      <c r="AI79" s="179">
        <f t="shared" si="115"/>
        <v>0.97810092240911561</v>
      </c>
      <c r="AJ79" s="179">
        <f t="shared" si="116"/>
        <v>1.7097043869697153</v>
      </c>
      <c r="AL79" s="563">
        <f t="shared" si="117"/>
        <v>81.400000000000006</v>
      </c>
      <c r="AM79" s="472">
        <f t="shared" si="118"/>
        <v>174.62380682458098</v>
      </c>
      <c r="AO79">
        <f t="shared" si="145"/>
        <v>81.400000000000006</v>
      </c>
      <c r="AP79">
        <f t="shared" si="119"/>
        <v>174.62380682458098</v>
      </c>
      <c r="AR79" s="6">
        <f t="shared" si="146"/>
        <v>5.7265960362698642</v>
      </c>
      <c r="AS79" s="6">
        <f t="shared" si="120"/>
        <v>3.830895279435703</v>
      </c>
      <c r="AT79" s="6">
        <f t="shared" si="147"/>
        <v>1.8957007568341613</v>
      </c>
      <c r="AU79" s="179">
        <f t="shared" si="148"/>
        <v>0.66896551724137943</v>
      </c>
      <c r="AW79" s="6">
        <f t="shared" si="121"/>
        <v>1.2993119822752759</v>
      </c>
      <c r="AX79" s="6">
        <f t="shared" si="122"/>
        <v>4.7247708446373666</v>
      </c>
      <c r="AY79" s="6">
        <f t="shared" si="123"/>
        <v>0.54143874247824808</v>
      </c>
      <c r="AZ79" s="6"/>
      <c r="BA79" s="179">
        <f t="shared" si="149"/>
        <v>0.46187548005606421</v>
      </c>
      <c r="BB79" s="179">
        <f t="shared" si="124"/>
        <v>0.32490744178740272</v>
      </c>
      <c r="BC79" s="179">
        <f t="shared" si="125"/>
        <v>0.58471283586972289</v>
      </c>
      <c r="BD79" s="179"/>
      <c r="BE79" s="546">
        <f t="shared" si="126"/>
        <v>7.4665135676956915E-2</v>
      </c>
      <c r="BF79" s="546">
        <f t="shared" si="127"/>
        <v>4.6436170212765963E-2</v>
      </c>
      <c r="BG79" s="546">
        <f t="shared" si="128"/>
        <v>2.1827975853072621E-3</v>
      </c>
      <c r="BH79" s="546">
        <f t="shared" si="129"/>
        <v>1.1473329807771299E-2</v>
      </c>
      <c r="BI79">
        <f t="shared" si="130"/>
        <v>3.48E-3</v>
      </c>
      <c r="BJ79">
        <f t="shared" si="131"/>
        <v>0.14190882307241245</v>
      </c>
      <c r="BK79" s="472">
        <f t="shared" si="150"/>
        <v>141.90882307241245</v>
      </c>
      <c r="BL79" s="179">
        <f t="shared" si="132"/>
        <v>2.4420000000000001E-2</v>
      </c>
      <c r="BM79" s="179">
        <f t="shared" si="133"/>
        <v>4.4399999999999995E-2</v>
      </c>
      <c r="BN79" s="546"/>
      <c r="BP79" s="472">
        <f t="shared" si="151"/>
        <v>68.819999999999993</v>
      </c>
      <c r="BQ79" s="546">
        <f t="shared" si="134"/>
        <v>4.2665791815403954E-2</v>
      </c>
      <c r="BR79" s="546">
        <f t="shared" si="135"/>
        <v>2.1112969145766897E-2</v>
      </c>
      <c r="BS79" s="546">
        <f t="shared" si="136"/>
        <v>3.4188910043081354E-2</v>
      </c>
      <c r="BT79" s="546">
        <f t="shared" si="137"/>
        <v>1.906284886511761E-2</v>
      </c>
      <c r="BU79" s="546">
        <f t="shared" si="138"/>
        <v>0.11795498185784679</v>
      </c>
      <c r="BV79" s="656">
        <f t="shared" si="139"/>
        <v>3.0905979843225087E-2</v>
      </c>
      <c r="BW79" s="472">
        <f t="shared" si="152"/>
        <v>148.86096170107189</v>
      </c>
      <c r="BX79" s="179">
        <f t="shared" si="153"/>
        <v>0.3595897847734843</v>
      </c>
      <c r="BY79" s="6">
        <f t="shared" si="154"/>
        <v>3.7295999999999996</v>
      </c>
      <c r="BZ79" s="179">
        <f t="shared" si="155"/>
        <v>0.91206331725848155</v>
      </c>
      <c r="CA79" s="6">
        <f t="shared" si="156"/>
        <v>91.206331725848159</v>
      </c>
      <c r="CB79">
        <f t="shared" si="157"/>
        <v>74</v>
      </c>
      <c r="CD79" s="581">
        <f t="shared" si="140"/>
        <v>-50</v>
      </c>
      <c r="CE79">
        <f t="shared" si="141"/>
        <v>-50</v>
      </c>
    </row>
    <row r="80" spans="5:83" x14ac:dyDescent="0.2">
      <c r="E80" s="176">
        <v>75</v>
      </c>
      <c r="F80" s="223">
        <f t="shared" si="158"/>
        <v>8.2500000000000004E-2</v>
      </c>
      <c r="G80" s="223">
        <f t="shared" si="142"/>
        <v>0.15000000000000002</v>
      </c>
      <c r="H80" s="223">
        <f t="shared" si="95"/>
        <v>1.98</v>
      </c>
      <c r="I80" s="223">
        <f t="shared" si="159"/>
        <v>1.8000000000000003</v>
      </c>
      <c r="J80" s="559">
        <f t="shared" si="96"/>
        <v>12</v>
      </c>
      <c r="K80" s="454">
        <f t="shared" si="97"/>
        <v>24.25</v>
      </c>
      <c r="L80" s="454">
        <f t="shared" si="98"/>
        <v>36.25</v>
      </c>
      <c r="M80" s="454"/>
      <c r="N80" s="223">
        <f t="shared" si="99"/>
        <v>0.66896551724137931</v>
      </c>
      <c r="O80" s="178">
        <f t="shared" si="143"/>
        <v>2.8961428571428565</v>
      </c>
      <c r="P80" s="178">
        <f t="shared" si="100"/>
        <v>5.0263636363636364</v>
      </c>
      <c r="Q80" s="223">
        <f t="shared" si="101"/>
        <v>0.12067261904761901</v>
      </c>
      <c r="R80" s="223">
        <f t="shared" si="102"/>
        <v>0.24134523809523803</v>
      </c>
      <c r="S80" s="454">
        <f t="shared" si="103"/>
        <v>24</v>
      </c>
      <c r="T80" s="223">
        <f t="shared" si="104"/>
        <v>0.9913185024416713</v>
      </c>
      <c r="U80" s="223">
        <f t="shared" si="105"/>
        <v>3.8826641345632122</v>
      </c>
      <c r="V80" s="223">
        <f t="shared" si="106"/>
        <v>1.9213183346292184</v>
      </c>
      <c r="W80" s="203">
        <f t="shared" si="107"/>
        <v>350</v>
      </c>
      <c r="X80" s="454">
        <f t="shared" si="144"/>
        <v>172.29548940025325</v>
      </c>
      <c r="Z80" s="223">
        <f t="shared" si="108"/>
        <v>0.48799916151346817</v>
      </c>
      <c r="AA80" s="179">
        <f t="shared" si="109"/>
        <v>0.94581280788177335</v>
      </c>
      <c r="AB80" s="179">
        <f t="shared" si="110"/>
        <v>8.077227500912576E-2</v>
      </c>
      <c r="AC80" s="179"/>
      <c r="AD80" s="179">
        <f t="shared" si="111"/>
        <v>0.56206185567010303</v>
      </c>
      <c r="AE80" s="563">
        <f t="shared" si="112"/>
        <v>1012.2827434411925</v>
      </c>
      <c r="AF80" s="546">
        <f t="shared" si="113"/>
        <v>2.8524639175257726E-2</v>
      </c>
      <c r="AH80" s="179">
        <f t="shared" si="114"/>
        <v>0.6779192194392385</v>
      </c>
      <c r="AI80" s="179">
        <f t="shared" si="115"/>
        <v>0.9913185024416713</v>
      </c>
      <c r="AJ80" s="179">
        <f t="shared" si="116"/>
        <v>1.7194951869938304</v>
      </c>
      <c r="AL80" s="563">
        <f t="shared" si="117"/>
        <v>82.5</v>
      </c>
      <c r="AM80" s="472">
        <f t="shared" si="118"/>
        <v>172.29548940025325</v>
      </c>
      <c r="AO80">
        <f t="shared" si="145"/>
        <v>82.5</v>
      </c>
      <c r="AP80">
        <f t="shared" si="119"/>
        <v>172.29548940025325</v>
      </c>
      <c r="AR80" s="6">
        <f t="shared" si="146"/>
        <v>5.8039824691924293</v>
      </c>
      <c r="AS80" s="6">
        <f t="shared" si="120"/>
        <v>3.8826641345632122</v>
      </c>
      <c r="AT80" s="6">
        <f t="shared" si="147"/>
        <v>1.9213183346292171</v>
      </c>
      <c r="AU80" s="179">
        <f t="shared" si="148"/>
        <v>0.66896551724137943</v>
      </c>
      <c r="AW80" s="6">
        <f t="shared" si="121"/>
        <v>1.3346657962561044</v>
      </c>
      <c r="AX80" s="6">
        <f t="shared" si="122"/>
        <v>4.8533301682040149</v>
      </c>
      <c r="AY80" s="6">
        <f t="shared" si="123"/>
        <v>0.55617109686635224</v>
      </c>
      <c r="AZ80" s="6"/>
      <c r="BA80" s="179">
        <f t="shared" si="149"/>
        <v>0.46811704059736242</v>
      </c>
      <c r="BB80" s="179">
        <f t="shared" si="124"/>
        <v>0.3292980828926379</v>
      </c>
      <c r="BC80" s="179">
        <f t="shared" si="125"/>
        <v>0.59261436067877327</v>
      </c>
      <c r="BD80" s="179"/>
      <c r="BE80" s="546">
        <f t="shared" si="126"/>
        <v>7.6696747294171419E-2</v>
      </c>
      <c r="BF80" s="546">
        <f t="shared" si="127"/>
        <v>4.6436170212765963E-2</v>
      </c>
      <c r="BG80" s="546">
        <f t="shared" si="128"/>
        <v>2.1536936175031653E-3</v>
      </c>
      <c r="BH80" s="546">
        <f t="shared" si="129"/>
        <v>1.1320352077001015E-2</v>
      </c>
      <c r="BI80">
        <f t="shared" si="130"/>
        <v>3.48E-3</v>
      </c>
      <c r="BJ80">
        <f t="shared" si="131"/>
        <v>0.14391147141997535</v>
      </c>
      <c r="BK80" s="472">
        <f t="shared" si="150"/>
        <v>143.91147141997536</v>
      </c>
      <c r="BL80" s="179">
        <f t="shared" si="132"/>
        <v>2.4750000000000001E-2</v>
      </c>
      <c r="BM80" s="179">
        <f t="shared" si="133"/>
        <v>4.5000000000000005E-2</v>
      </c>
      <c r="BN80" s="546"/>
      <c r="BP80" s="472">
        <f t="shared" si="151"/>
        <v>69.75</v>
      </c>
      <c r="BQ80" s="546">
        <f t="shared" si="134"/>
        <v>4.3826712739526534E-2</v>
      </c>
      <c r="BR80" s="546">
        <f t="shared" si="135"/>
        <v>2.1687445479353324E-2</v>
      </c>
      <c r="BS80" s="546">
        <f t="shared" si="136"/>
        <v>3.5119178048271117E-2</v>
      </c>
      <c r="BT80" s="546">
        <f t="shared" si="137"/>
        <v>1.9062848865117606E-2</v>
      </c>
      <c r="BU80" s="546">
        <f t="shared" si="138"/>
        <v>0.12066764010855724</v>
      </c>
      <c r="BV80" s="656">
        <f t="shared" si="139"/>
        <v>3.1323628219484888E-2</v>
      </c>
      <c r="BW80" s="472">
        <f t="shared" si="152"/>
        <v>151.99126832804214</v>
      </c>
      <c r="BX80" s="179">
        <f t="shared" si="153"/>
        <v>0.36565273974801749</v>
      </c>
      <c r="BY80" s="6">
        <f t="shared" si="154"/>
        <v>3.7800000000000002</v>
      </c>
      <c r="BZ80" s="179">
        <f t="shared" si="155"/>
        <v>0.91179851215173358</v>
      </c>
      <c r="CA80" s="6">
        <f t="shared" si="156"/>
        <v>91.179851215173358</v>
      </c>
      <c r="CB80">
        <f t="shared" si="157"/>
        <v>75</v>
      </c>
      <c r="CD80" s="581">
        <f t="shared" si="140"/>
        <v>-50</v>
      </c>
      <c r="CE80">
        <f t="shared" si="141"/>
        <v>-50</v>
      </c>
    </row>
    <row r="81" spans="5:83" x14ac:dyDescent="0.2">
      <c r="E81" s="176">
        <v>76</v>
      </c>
      <c r="F81" s="223">
        <f t="shared" si="158"/>
        <v>8.3600000000000008E-2</v>
      </c>
      <c r="G81" s="223">
        <f t="shared" si="142"/>
        <v>0.15200000000000002</v>
      </c>
      <c r="H81" s="223">
        <f t="shared" si="95"/>
        <v>2.0064000000000002</v>
      </c>
      <c r="I81" s="223">
        <f t="shared" si="159"/>
        <v>1.8240000000000003</v>
      </c>
      <c r="J81" s="559">
        <f t="shared" si="96"/>
        <v>12</v>
      </c>
      <c r="K81" s="454">
        <f t="shared" si="97"/>
        <v>24.25</v>
      </c>
      <c r="L81" s="454">
        <f t="shared" si="98"/>
        <v>36.25</v>
      </c>
      <c r="M81" s="454"/>
      <c r="N81" s="223">
        <f t="shared" si="99"/>
        <v>0.66896551724137931</v>
      </c>
      <c r="O81" s="178">
        <f t="shared" si="143"/>
        <v>2.8961428571428565</v>
      </c>
      <c r="P81" s="178">
        <f t="shared" si="100"/>
        <v>5.0263636363636364</v>
      </c>
      <c r="Q81" s="223">
        <f t="shared" si="101"/>
        <v>0.12067261904761901</v>
      </c>
      <c r="R81" s="223">
        <f t="shared" si="102"/>
        <v>0.24134523809523803</v>
      </c>
      <c r="S81" s="454">
        <f t="shared" si="103"/>
        <v>24</v>
      </c>
      <c r="T81" s="223">
        <f t="shared" si="104"/>
        <v>1.0045360824742271</v>
      </c>
      <c r="U81" s="223">
        <f t="shared" si="105"/>
        <v>3.9344329896907224</v>
      </c>
      <c r="V81" s="223">
        <f t="shared" si="106"/>
        <v>1.9469359124242751</v>
      </c>
      <c r="W81" s="203">
        <f t="shared" si="107"/>
        <v>350</v>
      </c>
      <c r="X81" s="454">
        <f t="shared" si="144"/>
        <v>170.02844348709195</v>
      </c>
      <c r="Z81" s="223">
        <f t="shared" si="108"/>
        <v>0.48799916151346817</v>
      </c>
      <c r="AA81" s="179">
        <f t="shared" si="109"/>
        <v>0.94581280788177335</v>
      </c>
      <c r="AB81" s="179">
        <f t="shared" si="110"/>
        <v>8.077227500912576E-2</v>
      </c>
      <c r="AC81" s="179"/>
      <c r="AD81" s="179">
        <f t="shared" si="111"/>
        <v>0.56206185567010303</v>
      </c>
      <c r="AE81" s="563">
        <f t="shared" si="112"/>
        <v>1025.779846687075</v>
      </c>
      <c r="AF81" s="546">
        <f t="shared" si="113"/>
        <v>2.8524639175257726E-2</v>
      </c>
      <c r="AH81" s="179">
        <f t="shared" si="114"/>
        <v>0.68242371563389748</v>
      </c>
      <c r="AI81" s="179">
        <f t="shared" si="115"/>
        <v>1.0045360824742271</v>
      </c>
      <c r="AJ81" s="179">
        <f t="shared" si="116"/>
        <v>1.729285987017946</v>
      </c>
      <c r="AL81" s="563">
        <f t="shared" si="117"/>
        <v>83.600000000000009</v>
      </c>
      <c r="AM81" s="472">
        <f t="shared" si="118"/>
        <v>170.02844348709195</v>
      </c>
      <c r="AO81">
        <f t="shared" si="145"/>
        <v>83.600000000000009</v>
      </c>
      <c r="AP81">
        <f t="shared" si="119"/>
        <v>170.02844348709195</v>
      </c>
      <c r="AR81" s="6">
        <f t="shared" si="146"/>
        <v>5.8813689021149989</v>
      </c>
      <c r="AS81" s="6">
        <f t="shared" si="120"/>
        <v>3.9344329896907224</v>
      </c>
      <c r="AT81" s="6">
        <f t="shared" si="147"/>
        <v>1.9469359124242764</v>
      </c>
      <c r="AU81" s="179">
        <f t="shared" si="148"/>
        <v>0.66896551724137909</v>
      </c>
      <c r="AW81" s="6">
        <f t="shared" si="121"/>
        <v>1.3704941580756018</v>
      </c>
      <c r="AX81" s="6">
        <f t="shared" si="122"/>
        <v>4.9836151202749157</v>
      </c>
      <c r="AY81" s="6">
        <f t="shared" si="123"/>
        <v>0.57110120097778772</v>
      </c>
      <c r="AZ81" s="6"/>
      <c r="BA81" s="179">
        <f t="shared" si="149"/>
        <v>0.47435860113866057</v>
      </c>
      <c r="BB81" s="179">
        <f t="shared" si="124"/>
        <v>0.3336887239978733</v>
      </c>
      <c r="BC81" s="179">
        <f t="shared" si="125"/>
        <v>0.60051588548782397</v>
      </c>
      <c r="BD81" s="179"/>
      <c r="BE81" s="546">
        <f t="shared" si="126"/>
        <v>7.8755628865979407E-2</v>
      </c>
      <c r="BF81" s="546">
        <f t="shared" si="127"/>
        <v>4.643617021276595E-2</v>
      </c>
      <c r="BG81" s="546">
        <f t="shared" si="128"/>
        <v>2.1253555435886491E-3</v>
      </c>
      <c r="BH81" s="546">
        <f t="shared" si="129"/>
        <v>1.1171400075987839E-2</v>
      </c>
      <c r="BI81">
        <f t="shared" si="130"/>
        <v>3.48E-3</v>
      </c>
      <c r="BJ81">
        <f t="shared" si="131"/>
        <v>0.14595139688510655</v>
      </c>
      <c r="BK81" s="472">
        <f t="shared" si="150"/>
        <v>145.95139688510656</v>
      </c>
      <c r="BL81" s="179">
        <f t="shared" si="132"/>
        <v>2.5080000000000002E-2</v>
      </c>
      <c r="BM81" s="179">
        <f t="shared" si="133"/>
        <v>4.5600000000000009E-2</v>
      </c>
      <c r="BN81" s="546"/>
      <c r="BP81" s="472">
        <f t="shared" si="151"/>
        <v>70.680000000000007</v>
      </c>
      <c r="BQ81" s="546">
        <f t="shared" si="134"/>
        <v>4.5003216494845379E-2</v>
      </c>
      <c r="BR81" s="546">
        <f t="shared" si="135"/>
        <v>2.2269632904665774E-2</v>
      </c>
      <c r="BS81" s="546">
        <f t="shared" si="136"/>
        <v>3.6061932872322532E-2</v>
      </c>
      <c r="BT81" s="546">
        <f t="shared" si="137"/>
        <v>1.9062848865117579E-2</v>
      </c>
      <c r="BU81" s="546">
        <f t="shared" si="138"/>
        <v>0.12341790008363844</v>
      </c>
      <c r="BV81" s="656">
        <f t="shared" si="139"/>
        <v>3.1741276595744689E-2</v>
      </c>
      <c r="BW81" s="472">
        <f t="shared" si="152"/>
        <v>155.15917667938311</v>
      </c>
      <c r="BX81" s="179">
        <f t="shared" si="153"/>
        <v>0.37179057356448963</v>
      </c>
      <c r="BY81" s="6">
        <f t="shared" si="154"/>
        <v>3.8304000000000005</v>
      </c>
      <c r="BZ81" s="179">
        <f t="shared" si="155"/>
        <v>0.91152458055962948</v>
      </c>
      <c r="CA81" s="6">
        <f t="shared" si="156"/>
        <v>91.152458055962953</v>
      </c>
      <c r="CB81">
        <f t="shared" si="157"/>
        <v>76.000000000000014</v>
      </c>
      <c r="CD81" s="581">
        <f t="shared" si="140"/>
        <v>-50</v>
      </c>
      <c r="CE81">
        <f t="shared" si="141"/>
        <v>-50</v>
      </c>
    </row>
    <row r="82" spans="5:83" x14ac:dyDescent="0.2">
      <c r="E82" s="176">
        <v>77</v>
      </c>
      <c r="F82" s="223">
        <f t="shared" si="158"/>
        <v>8.4699999999999998E-2</v>
      </c>
      <c r="G82" s="223">
        <f t="shared" si="142"/>
        <v>0.15400000000000003</v>
      </c>
      <c r="H82" s="223">
        <f t="shared" si="95"/>
        <v>2.0327999999999999</v>
      </c>
      <c r="I82" s="223">
        <f t="shared" si="159"/>
        <v>1.8480000000000003</v>
      </c>
      <c r="J82" s="559">
        <f t="shared" si="96"/>
        <v>12</v>
      </c>
      <c r="K82" s="454">
        <f t="shared" si="97"/>
        <v>24.25</v>
      </c>
      <c r="L82" s="454">
        <f t="shared" si="98"/>
        <v>36.25</v>
      </c>
      <c r="M82" s="454"/>
      <c r="N82" s="223">
        <f t="shared" si="99"/>
        <v>0.66896551724137931</v>
      </c>
      <c r="O82" s="178">
        <f t="shared" si="143"/>
        <v>2.8961428571428565</v>
      </c>
      <c r="P82" s="178">
        <f t="shared" si="100"/>
        <v>5.0263636363636364</v>
      </c>
      <c r="Q82" s="223">
        <f t="shared" si="101"/>
        <v>0.12067261904761901</v>
      </c>
      <c r="R82" s="223">
        <f t="shared" si="102"/>
        <v>0.24134523809523803</v>
      </c>
      <c r="S82" s="454">
        <f t="shared" si="103"/>
        <v>24</v>
      </c>
      <c r="T82" s="223">
        <f t="shared" si="104"/>
        <v>1.0177536625067827</v>
      </c>
      <c r="U82" s="223">
        <f t="shared" si="105"/>
        <v>3.9862018448182317</v>
      </c>
      <c r="V82" s="223">
        <f t="shared" si="106"/>
        <v>1.9725534902193311</v>
      </c>
      <c r="W82" s="203">
        <f t="shared" si="107"/>
        <v>350</v>
      </c>
      <c r="X82" s="454">
        <f t="shared" si="144"/>
        <v>167.82028188336352</v>
      </c>
      <c r="Z82" s="223">
        <f t="shared" si="108"/>
        <v>0.48799916151346817</v>
      </c>
      <c r="AA82" s="179">
        <f t="shared" si="109"/>
        <v>0.94581280788177335</v>
      </c>
      <c r="AB82" s="179">
        <f t="shared" si="110"/>
        <v>8.077227500912576E-2</v>
      </c>
      <c r="AC82" s="179"/>
      <c r="AD82" s="179">
        <f t="shared" si="111"/>
        <v>0.56206185567010303</v>
      </c>
      <c r="AE82" s="563">
        <f t="shared" si="112"/>
        <v>1039.2769499329575</v>
      </c>
      <c r="AF82" s="546">
        <f t="shared" si="113"/>
        <v>2.8524639175257726E-2</v>
      </c>
      <c r="AH82" s="179">
        <f t="shared" si="114"/>
        <v>0.68689867319280984</v>
      </c>
      <c r="AI82" s="179">
        <f t="shared" si="115"/>
        <v>1.0177536625067827</v>
      </c>
      <c r="AJ82" s="179">
        <f t="shared" si="116"/>
        <v>1.7390767870420611</v>
      </c>
      <c r="AL82" s="563">
        <f t="shared" si="117"/>
        <v>84.7</v>
      </c>
      <c r="AM82" s="472">
        <f t="shared" si="118"/>
        <v>167.82028188336352</v>
      </c>
      <c r="AO82">
        <f t="shared" si="145"/>
        <v>84.7</v>
      </c>
      <c r="AP82">
        <f t="shared" si="119"/>
        <v>167.82028188336352</v>
      </c>
      <c r="AR82" s="6">
        <f t="shared" si="146"/>
        <v>5.9587553350375622</v>
      </c>
      <c r="AS82" s="6">
        <f t="shared" si="120"/>
        <v>3.9862018448182317</v>
      </c>
      <c r="AT82" s="6">
        <f t="shared" si="147"/>
        <v>1.9725534902193305</v>
      </c>
      <c r="AU82" s="179">
        <f t="shared" si="148"/>
        <v>0.66896551724137943</v>
      </c>
      <c r="AW82" s="6">
        <f t="shared" si="121"/>
        <v>1.4067970677337676</v>
      </c>
      <c r="AX82" s="6">
        <f t="shared" si="122"/>
        <v>5.1156257008500647</v>
      </c>
      <c r="AY82" s="6">
        <f t="shared" si="123"/>
        <v>0.58622905481255183</v>
      </c>
      <c r="AZ82" s="6"/>
      <c r="BA82" s="179">
        <f t="shared" si="149"/>
        <v>0.48060016167995884</v>
      </c>
      <c r="BB82" s="179">
        <f t="shared" si="124"/>
        <v>0.33807936510310832</v>
      </c>
      <c r="BC82" s="179">
        <f t="shared" si="125"/>
        <v>0.60841741029687413</v>
      </c>
      <c r="BD82" s="179"/>
      <c r="BE82" s="546">
        <f t="shared" si="126"/>
        <v>8.0841780392380894E-2</v>
      </c>
      <c r="BF82" s="546">
        <f t="shared" si="127"/>
        <v>4.6436170212765956E-2</v>
      </c>
      <c r="BG82" s="546">
        <f t="shared" si="128"/>
        <v>2.0977535235420439E-3</v>
      </c>
      <c r="BH82" s="546">
        <f t="shared" si="129"/>
        <v>1.1026316958117869E-2</v>
      </c>
      <c r="BI82">
        <f t="shared" si="130"/>
        <v>3.48E-3</v>
      </c>
      <c r="BJ82">
        <f t="shared" si="131"/>
        <v>0.14802854897351081</v>
      </c>
      <c r="BK82" s="472">
        <f t="shared" si="150"/>
        <v>148.02854897351082</v>
      </c>
      <c r="BL82" s="179">
        <f t="shared" si="132"/>
        <v>2.5409999999999999E-2</v>
      </c>
      <c r="BM82" s="179">
        <f t="shared" si="133"/>
        <v>4.6200000000000005E-2</v>
      </c>
      <c r="BN82" s="546"/>
      <c r="BP82" s="472">
        <f t="shared" si="151"/>
        <v>71.610000000000014</v>
      </c>
      <c r="BQ82" s="546">
        <f t="shared" si="134"/>
        <v>4.6195303081360523E-2</v>
      </c>
      <c r="BR82" s="546">
        <f t="shared" si="135"/>
        <v>2.2859531421704164E-2</v>
      </c>
      <c r="BS82" s="546">
        <f t="shared" si="136"/>
        <v>3.7017174515235493E-2</v>
      </c>
      <c r="BT82" s="546">
        <f t="shared" si="137"/>
        <v>1.9062848865117613E-2</v>
      </c>
      <c r="BU82" s="546">
        <f t="shared" si="138"/>
        <v>0.12620581019035162</v>
      </c>
      <c r="BV82" s="656">
        <f t="shared" si="139"/>
        <v>3.2158924972004496E-2</v>
      </c>
      <c r="BW82" s="472">
        <f t="shared" si="152"/>
        <v>158.36473516235611</v>
      </c>
      <c r="BX82" s="179">
        <f t="shared" si="153"/>
        <v>0.37800328413586698</v>
      </c>
      <c r="BY82" s="6">
        <f t="shared" si="154"/>
        <v>3.8808000000000002</v>
      </c>
      <c r="BZ82" s="179">
        <f t="shared" si="155"/>
        <v>0.91124190085418189</v>
      </c>
      <c r="CA82" s="6">
        <f t="shared" si="156"/>
        <v>91.124190085418192</v>
      </c>
      <c r="CB82">
        <f t="shared" si="157"/>
        <v>77</v>
      </c>
      <c r="CD82" s="581">
        <f t="shared" si="140"/>
        <v>-50</v>
      </c>
      <c r="CE82">
        <f t="shared" si="141"/>
        <v>-50</v>
      </c>
    </row>
    <row r="83" spans="5:83" x14ac:dyDescent="0.2">
      <c r="E83" s="176">
        <v>78</v>
      </c>
      <c r="F83" s="223">
        <f t="shared" si="158"/>
        <v>8.5800000000000001E-2</v>
      </c>
      <c r="G83" s="223">
        <f t="shared" si="142"/>
        <v>0.15600000000000003</v>
      </c>
      <c r="H83" s="223">
        <f t="shared" si="95"/>
        <v>2.0592000000000001</v>
      </c>
      <c r="I83" s="223">
        <f t="shared" si="159"/>
        <v>1.8720000000000003</v>
      </c>
      <c r="J83" s="559">
        <f t="shared" si="96"/>
        <v>12</v>
      </c>
      <c r="K83" s="454">
        <f t="shared" si="97"/>
        <v>24.25</v>
      </c>
      <c r="L83" s="454">
        <f t="shared" si="98"/>
        <v>36.25</v>
      </c>
      <c r="M83" s="454"/>
      <c r="N83" s="223">
        <f t="shared" si="99"/>
        <v>0.66896551724137931</v>
      </c>
      <c r="O83" s="178">
        <f t="shared" si="143"/>
        <v>2.8961428571428565</v>
      </c>
      <c r="P83" s="178">
        <f t="shared" si="100"/>
        <v>5.0263636363636364</v>
      </c>
      <c r="Q83" s="223">
        <f t="shared" si="101"/>
        <v>0.12067261904761901</v>
      </c>
      <c r="R83" s="223">
        <f t="shared" si="102"/>
        <v>0.24134523809523803</v>
      </c>
      <c r="S83" s="454">
        <f t="shared" si="103"/>
        <v>24</v>
      </c>
      <c r="T83" s="223">
        <f t="shared" si="104"/>
        <v>1.0309712425393383</v>
      </c>
      <c r="U83" s="223">
        <f t="shared" si="105"/>
        <v>4.0379706999457419</v>
      </c>
      <c r="V83" s="223">
        <f t="shared" si="106"/>
        <v>1.9981710680143876</v>
      </c>
      <c r="W83" s="203">
        <f t="shared" si="107"/>
        <v>350</v>
      </c>
      <c r="X83" s="454">
        <f t="shared" si="144"/>
        <v>165.66873980793576</v>
      </c>
      <c r="Z83" s="223">
        <f t="shared" si="108"/>
        <v>0.48799916151346817</v>
      </c>
      <c r="AA83" s="179">
        <f t="shared" si="109"/>
        <v>0.94581280788177335</v>
      </c>
      <c r="AB83" s="179">
        <f t="shared" si="110"/>
        <v>8.077227500912576E-2</v>
      </c>
      <c r="AC83" s="179"/>
      <c r="AD83" s="179">
        <f t="shared" si="111"/>
        <v>0.56206185567010303</v>
      </c>
      <c r="AE83" s="563">
        <f t="shared" si="112"/>
        <v>1052.7740531788402</v>
      </c>
      <c r="AF83" s="546">
        <f t="shared" si="113"/>
        <v>2.8524639175257726E-2</v>
      </c>
      <c r="AH83" s="179">
        <f t="shared" si="114"/>
        <v>0.69134466571205333</v>
      </c>
      <c r="AI83" s="179">
        <f t="shared" si="115"/>
        <v>1.0309712425393383</v>
      </c>
      <c r="AJ83" s="179">
        <f t="shared" si="116"/>
        <v>1.7488675870661763</v>
      </c>
      <c r="AL83" s="563">
        <f t="shared" si="117"/>
        <v>85.8</v>
      </c>
      <c r="AM83" s="472">
        <f t="shared" si="118"/>
        <v>165.66873980793576</v>
      </c>
      <c r="AO83">
        <f t="shared" si="145"/>
        <v>85.8</v>
      </c>
      <c r="AP83">
        <f t="shared" si="119"/>
        <v>165.66873980793576</v>
      </c>
      <c r="AR83" s="6">
        <f t="shared" si="146"/>
        <v>6.036141767960129</v>
      </c>
      <c r="AS83" s="6">
        <f t="shared" si="120"/>
        <v>4.0379706999457419</v>
      </c>
      <c r="AT83" s="6">
        <f t="shared" si="147"/>
        <v>1.9981710680143872</v>
      </c>
      <c r="AU83" s="179">
        <f t="shared" si="148"/>
        <v>0.66896551724137943</v>
      </c>
      <c r="AW83" s="6">
        <f t="shared" si="121"/>
        <v>1.4435745252306027</v>
      </c>
      <c r="AX83" s="6">
        <f t="shared" si="122"/>
        <v>5.2493619099294655</v>
      </c>
      <c r="AY83" s="6">
        <f t="shared" si="123"/>
        <v>0.60155465837064703</v>
      </c>
      <c r="AZ83" s="6"/>
      <c r="BA83" s="179">
        <f t="shared" si="149"/>
        <v>0.48684172222125699</v>
      </c>
      <c r="BB83" s="179">
        <f t="shared" si="124"/>
        <v>0.34247000620834345</v>
      </c>
      <c r="BC83" s="179">
        <f t="shared" si="125"/>
        <v>0.61631893510592428</v>
      </c>
      <c r="BD83" s="179"/>
      <c r="BE83" s="546">
        <f t="shared" si="126"/>
        <v>8.2955201873375836E-2</v>
      </c>
      <c r="BF83" s="546">
        <f t="shared" si="127"/>
        <v>4.643617021276595E-2</v>
      </c>
      <c r="BG83" s="546">
        <f t="shared" si="128"/>
        <v>2.0708592475991972E-3</v>
      </c>
      <c r="BH83" s="546">
        <f t="shared" si="129"/>
        <v>1.088495392019328E-2</v>
      </c>
      <c r="BI83">
        <f t="shared" si="130"/>
        <v>3.48E-3</v>
      </c>
      <c r="BJ83">
        <f t="shared" si="131"/>
        <v>0.15014288907155343</v>
      </c>
      <c r="BK83" s="472">
        <f t="shared" si="150"/>
        <v>150.14288907155344</v>
      </c>
      <c r="BL83" s="179">
        <f t="shared" si="132"/>
        <v>2.5739999999999999E-2</v>
      </c>
      <c r="BM83" s="179">
        <f t="shared" si="133"/>
        <v>4.6800000000000008E-2</v>
      </c>
      <c r="BN83" s="546"/>
      <c r="BP83" s="472">
        <f t="shared" si="151"/>
        <v>72.540000000000006</v>
      </c>
      <c r="BQ83" s="546">
        <f t="shared" si="134"/>
        <v>4.740297249907191E-2</v>
      </c>
      <c r="BR83" s="546">
        <f t="shared" si="135"/>
        <v>2.3457141030468559E-2</v>
      </c>
      <c r="BS83" s="546">
        <f t="shared" si="136"/>
        <v>3.798490297701005E-2</v>
      </c>
      <c r="BT83" s="546">
        <f t="shared" si="137"/>
        <v>1.9062848865117603E-2</v>
      </c>
      <c r="BU83" s="546">
        <f t="shared" si="138"/>
        <v>0.1290314195307633</v>
      </c>
      <c r="BV83" s="656">
        <f t="shared" si="139"/>
        <v>3.2576573348264283E-2</v>
      </c>
      <c r="BW83" s="472">
        <f t="shared" si="152"/>
        <v>161.60799287902759</v>
      </c>
      <c r="BX83" s="179">
        <f t="shared" si="153"/>
        <v>0.38429088195058103</v>
      </c>
      <c r="BY83" s="6">
        <f t="shared" si="154"/>
        <v>3.9312000000000005</v>
      </c>
      <c r="BZ83" s="179">
        <f t="shared" si="155"/>
        <v>0.91095082982150033</v>
      </c>
      <c r="CA83" s="6">
        <f t="shared" si="156"/>
        <v>91.095082982150032</v>
      </c>
      <c r="CB83">
        <f t="shared" si="157"/>
        <v>78</v>
      </c>
      <c r="CD83" s="581">
        <f t="shared" si="140"/>
        <v>-50</v>
      </c>
      <c r="CE83">
        <f t="shared" si="141"/>
        <v>-50</v>
      </c>
    </row>
    <row r="84" spans="5:83" x14ac:dyDescent="0.2">
      <c r="E84" s="176">
        <v>79</v>
      </c>
      <c r="F84" s="223">
        <f t="shared" si="158"/>
        <v>8.6900000000000005E-2</v>
      </c>
      <c r="G84" s="223">
        <f t="shared" si="142"/>
        <v>0.15800000000000003</v>
      </c>
      <c r="H84" s="223">
        <f t="shared" si="95"/>
        <v>2.0856000000000003</v>
      </c>
      <c r="I84" s="223">
        <f t="shared" si="159"/>
        <v>1.8960000000000004</v>
      </c>
      <c r="J84" s="559">
        <f t="shared" si="96"/>
        <v>12</v>
      </c>
      <c r="K84" s="454">
        <f t="shared" si="97"/>
        <v>24.25</v>
      </c>
      <c r="L84" s="454">
        <f t="shared" si="98"/>
        <v>36.25</v>
      </c>
      <c r="M84" s="454"/>
      <c r="N84" s="223">
        <f t="shared" si="99"/>
        <v>0.66896551724137931</v>
      </c>
      <c r="O84" s="178">
        <f t="shared" si="143"/>
        <v>2.8961428571428565</v>
      </c>
      <c r="P84" s="178">
        <f t="shared" si="100"/>
        <v>5.0263636363636364</v>
      </c>
      <c r="Q84" s="223">
        <f t="shared" si="101"/>
        <v>0.12067261904761901</v>
      </c>
      <c r="R84" s="223">
        <f t="shared" si="102"/>
        <v>0.24134523809523803</v>
      </c>
      <c r="S84" s="454">
        <f t="shared" si="103"/>
        <v>24</v>
      </c>
      <c r="T84" s="223">
        <f t="shared" si="104"/>
        <v>1.044188822571894</v>
      </c>
      <c r="U84" s="223">
        <f t="shared" si="105"/>
        <v>4.089739555073252</v>
      </c>
      <c r="V84" s="223">
        <f t="shared" si="106"/>
        <v>2.0237886458094438</v>
      </c>
      <c r="W84" s="203">
        <f t="shared" si="107"/>
        <v>350</v>
      </c>
      <c r="X84" s="454">
        <f t="shared" si="144"/>
        <v>163.57166715213907</v>
      </c>
      <c r="Z84" s="223">
        <f t="shared" si="108"/>
        <v>0.48799916151346817</v>
      </c>
      <c r="AA84" s="179">
        <f t="shared" si="109"/>
        <v>0.94581280788177335</v>
      </c>
      <c r="AB84" s="179">
        <f t="shared" si="110"/>
        <v>8.077227500912576E-2</v>
      </c>
      <c r="AC84" s="179"/>
      <c r="AD84" s="179">
        <f t="shared" si="111"/>
        <v>0.56206185567010303</v>
      </c>
      <c r="AE84" s="563">
        <f t="shared" si="112"/>
        <v>1066.2711564247227</v>
      </c>
      <c r="AF84" s="546">
        <f t="shared" si="113"/>
        <v>2.8524639175257726E-2</v>
      </c>
      <c r="AH84" s="179">
        <f t="shared" si="114"/>
        <v>0.69576224846062096</v>
      </c>
      <c r="AI84" s="179">
        <f t="shared" si="115"/>
        <v>1.044188822571894</v>
      </c>
      <c r="AJ84" s="179">
        <f t="shared" si="116"/>
        <v>1.7586583870902919</v>
      </c>
      <c r="AL84" s="563">
        <f t="shared" si="117"/>
        <v>86.9</v>
      </c>
      <c r="AM84" s="472">
        <f t="shared" si="118"/>
        <v>163.57166715213907</v>
      </c>
      <c r="AO84">
        <f t="shared" si="145"/>
        <v>86.9</v>
      </c>
      <c r="AP84">
        <f t="shared" si="119"/>
        <v>163.57166715213907</v>
      </c>
      <c r="AR84" s="6">
        <f t="shared" si="146"/>
        <v>6.1135282008826959</v>
      </c>
      <c r="AS84" s="6">
        <f t="shared" si="120"/>
        <v>4.089739555073252</v>
      </c>
      <c r="AT84" s="6">
        <f t="shared" si="147"/>
        <v>2.0237886458094438</v>
      </c>
      <c r="AU84" s="179">
        <f t="shared" si="148"/>
        <v>0.66896551724137931</v>
      </c>
      <c r="AW84" s="6">
        <f t="shared" si="121"/>
        <v>1.4808265305661066</v>
      </c>
      <c r="AX84" s="6">
        <f t="shared" si="122"/>
        <v>5.3848237475131162</v>
      </c>
      <c r="AY84" s="6">
        <f t="shared" si="123"/>
        <v>0.61707801165207254</v>
      </c>
      <c r="AZ84" s="6"/>
      <c r="BA84" s="179">
        <f t="shared" si="149"/>
        <v>0.4930832827625552</v>
      </c>
      <c r="BB84" s="179">
        <f t="shared" si="124"/>
        <v>0.34686064731357874</v>
      </c>
      <c r="BC84" s="179">
        <f t="shared" si="125"/>
        <v>0.62422045991497477</v>
      </c>
      <c r="BD84" s="179"/>
      <c r="BE84" s="546">
        <f t="shared" si="126"/>
        <v>8.5095893308964277E-2</v>
      </c>
      <c r="BF84" s="546">
        <f t="shared" si="127"/>
        <v>4.643617021276595E-2</v>
      </c>
      <c r="BG84" s="546">
        <f t="shared" si="128"/>
        <v>2.0446458394017381E-3</v>
      </c>
      <c r="BH84" s="546">
        <f t="shared" si="129"/>
        <v>1.0747169693355388E-2</v>
      </c>
      <c r="BI84">
        <f t="shared" si="130"/>
        <v>3.48E-3</v>
      </c>
      <c r="BJ84">
        <f t="shared" si="131"/>
        <v>0.1522943898624077</v>
      </c>
      <c r="BK84" s="472">
        <f t="shared" si="150"/>
        <v>152.29438986240771</v>
      </c>
      <c r="BL84" s="179">
        <f t="shared" si="132"/>
        <v>2.6069999999999999E-2</v>
      </c>
      <c r="BM84" s="179">
        <f t="shared" si="133"/>
        <v>4.7400000000000005E-2</v>
      </c>
      <c r="BN84" s="546"/>
      <c r="BP84" s="472">
        <f t="shared" si="151"/>
        <v>73.470000000000013</v>
      </c>
      <c r="BQ84" s="546">
        <f t="shared" si="134"/>
        <v>4.8626224747979591E-2</v>
      </c>
      <c r="BR84" s="546">
        <f t="shared" si="135"/>
        <v>2.4062461730958974E-2</v>
      </c>
      <c r="BS84" s="546">
        <f t="shared" si="136"/>
        <v>3.8965118257646265E-2</v>
      </c>
      <c r="BT84" s="546">
        <f t="shared" si="137"/>
        <v>1.9062848865117596E-2</v>
      </c>
      <c r="BU84" s="546">
        <f t="shared" si="138"/>
        <v>0.13189477790393128</v>
      </c>
      <c r="BV84" s="656">
        <f t="shared" si="139"/>
        <v>3.2994221724524084E-2</v>
      </c>
      <c r="BW84" s="472">
        <f t="shared" si="152"/>
        <v>164.88899962845537</v>
      </c>
      <c r="BX84" s="179">
        <f t="shared" si="153"/>
        <v>0.39065338949086309</v>
      </c>
      <c r="BY84" s="6">
        <f t="shared" si="154"/>
        <v>3.9816000000000007</v>
      </c>
      <c r="BZ84" s="179">
        <f t="shared" si="155"/>
        <v>0.91065170412359064</v>
      </c>
      <c r="CA84" s="6">
        <f t="shared" si="156"/>
        <v>91.065170412359066</v>
      </c>
      <c r="CB84">
        <f t="shared" si="157"/>
        <v>79</v>
      </c>
      <c r="CD84" s="581">
        <f t="shared" si="140"/>
        <v>-50</v>
      </c>
      <c r="CE84">
        <f t="shared" si="141"/>
        <v>-50</v>
      </c>
    </row>
    <row r="85" spans="5:83" x14ac:dyDescent="0.2">
      <c r="E85" s="176">
        <v>80</v>
      </c>
      <c r="F85" s="223">
        <f t="shared" si="158"/>
        <v>8.8000000000000009E-2</v>
      </c>
      <c r="G85" s="223">
        <f t="shared" si="142"/>
        <v>0.16000000000000003</v>
      </c>
      <c r="H85" s="223">
        <f t="shared" si="95"/>
        <v>2.1120000000000001</v>
      </c>
      <c r="I85" s="223">
        <f t="shared" si="159"/>
        <v>1.9200000000000004</v>
      </c>
      <c r="J85" s="559">
        <f t="shared" si="96"/>
        <v>12</v>
      </c>
      <c r="K85" s="454">
        <f t="shared" si="97"/>
        <v>24.25</v>
      </c>
      <c r="L85" s="454">
        <f t="shared" si="98"/>
        <v>36.25</v>
      </c>
      <c r="M85" s="454"/>
      <c r="N85" s="223">
        <f t="shared" si="99"/>
        <v>0.66896551724137931</v>
      </c>
      <c r="O85" s="178">
        <f t="shared" si="143"/>
        <v>2.8961428571428565</v>
      </c>
      <c r="P85" s="178">
        <f t="shared" si="100"/>
        <v>5.0263636363636364</v>
      </c>
      <c r="Q85" s="223">
        <f t="shared" si="101"/>
        <v>0.12067261904761901</v>
      </c>
      <c r="R85" s="223">
        <f t="shared" si="102"/>
        <v>0.24134523809523803</v>
      </c>
      <c r="S85" s="454">
        <f t="shared" si="103"/>
        <v>24</v>
      </c>
      <c r="T85" s="223">
        <f t="shared" si="104"/>
        <v>1.0574064026044494</v>
      </c>
      <c r="U85" s="223">
        <f t="shared" si="105"/>
        <v>4.1415084102007604</v>
      </c>
      <c r="V85" s="223">
        <f t="shared" si="106"/>
        <v>2.0494062236045001</v>
      </c>
      <c r="W85" s="203">
        <f t="shared" si="107"/>
        <v>350</v>
      </c>
      <c r="X85" s="454">
        <f t="shared" si="144"/>
        <v>161.52702131273739</v>
      </c>
      <c r="Z85" s="223">
        <f t="shared" si="108"/>
        <v>0.48799916151346817</v>
      </c>
      <c r="AA85" s="179">
        <f t="shared" si="109"/>
        <v>0.94581280788177335</v>
      </c>
      <c r="AB85" s="179">
        <f t="shared" si="110"/>
        <v>8.077227500912576E-2</v>
      </c>
      <c r="AC85" s="179"/>
      <c r="AD85" s="179">
        <f t="shared" si="111"/>
        <v>0.56206185567010303</v>
      </c>
      <c r="AE85" s="563">
        <f t="shared" si="112"/>
        <v>1079.7682596706052</v>
      </c>
      <c r="AF85" s="546">
        <f t="shared" si="113"/>
        <v>2.8524639175257726E-2</v>
      </c>
      <c r="AH85" s="179">
        <f t="shared" si="114"/>
        <v>0.70015195918989392</v>
      </c>
      <c r="AI85" s="179">
        <f t="shared" si="115"/>
        <v>1.0574064026044494</v>
      </c>
      <c r="AJ85" s="179">
        <f t="shared" si="116"/>
        <v>1.768449187114407</v>
      </c>
      <c r="AL85" s="563">
        <f t="shared" si="117"/>
        <v>88.000000000000014</v>
      </c>
      <c r="AM85" s="472">
        <f t="shared" si="118"/>
        <v>161.52702131273739</v>
      </c>
      <c r="AO85">
        <f t="shared" si="145"/>
        <v>88.000000000000014</v>
      </c>
      <c r="AP85">
        <f t="shared" si="119"/>
        <v>161.52702131273739</v>
      </c>
      <c r="AR85" s="6">
        <f t="shared" si="146"/>
        <v>6.1909146338052592</v>
      </c>
      <c r="AS85" s="6">
        <f t="shared" si="120"/>
        <v>4.1415084102007604</v>
      </c>
      <c r="AT85" s="6">
        <f t="shared" si="147"/>
        <v>2.0494062236044988</v>
      </c>
      <c r="AU85" s="179">
        <f t="shared" si="148"/>
        <v>0.66896551724137943</v>
      </c>
      <c r="AW85" s="6">
        <f t="shared" si="121"/>
        <v>1.5185530837402788</v>
      </c>
      <c r="AX85" s="6">
        <f t="shared" si="122"/>
        <v>5.522011213601016</v>
      </c>
      <c r="AY85" s="6">
        <f t="shared" si="123"/>
        <v>0.6327991146568277</v>
      </c>
      <c r="AZ85" s="6"/>
      <c r="BA85" s="179">
        <f t="shared" si="149"/>
        <v>0.49932484330385329</v>
      </c>
      <c r="BB85" s="179">
        <f t="shared" si="124"/>
        <v>0.35125128841881381</v>
      </c>
      <c r="BC85" s="179">
        <f t="shared" si="125"/>
        <v>0.63212198472402492</v>
      </c>
      <c r="BD85" s="179"/>
      <c r="BE85" s="546">
        <f t="shared" si="126"/>
        <v>8.7263854699146173E-2</v>
      </c>
      <c r="BF85" s="546">
        <f t="shared" si="127"/>
        <v>4.6436170212765956E-2</v>
      </c>
      <c r="BG85" s="546">
        <f t="shared" si="128"/>
        <v>2.0190877664092175E-3</v>
      </c>
      <c r="BH85" s="546">
        <f t="shared" si="129"/>
        <v>1.061283007218845E-2</v>
      </c>
      <c r="BI85">
        <f t="shared" si="130"/>
        <v>3.48E-3</v>
      </c>
      <c r="BJ85">
        <f t="shared" si="131"/>
        <v>0.15448303478808625</v>
      </c>
      <c r="BK85" s="472">
        <f t="shared" si="150"/>
        <v>154.48303478808626</v>
      </c>
      <c r="BL85" s="179">
        <f t="shared" si="132"/>
        <v>2.6400000000000003E-2</v>
      </c>
      <c r="BM85" s="179">
        <f t="shared" si="133"/>
        <v>4.8000000000000008E-2</v>
      </c>
      <c r="BN85" s="546"/>
      <c r="BP85" s="472">
        <f t="shared" si="151"/>
        <v>74.400000000000006</v>
      </c>
      <c r="BQ85" s="546">
        <f t="shared" si="134"/>
        <v>4.9865059828083536E-2</v>
      </c>
      <c r="BR85" s="546">
        <f t="shared" si="135"/>
        <v>2.4675493523175347E-2</v>
      </c>
      <c r="BS85" s="546">
        <f t="shared" si="136"/>
        <v>3.9957820357144042E-2</v>
      </c>
      <c r="BT85" s="546">
        <f t="shared" si="137"/>
        <v>1.9062848865117613E-2</v>
      </c>
      <c r="BU85" s="546">
        <f t="shared" si="138"/>
        <v>0.13479593580812313</v>
      </c>
      <c r="BV85" s="656">
        <f t="shared" si="139"/>
        <v>3.3411870100783878E-2</v>
      </c>
      <c r="BW85" s="472">
        <f t="shared" si="152"/>
        <v>168.20780590890701</v>
      </c>
      <c r="BX85" s="179">
        <f t="shared" si="153"/>
        <v>0.3970908406969933</v>
      </c>
      <c r="BY85" s="6">
        <f t="shared" si="154"/>
        <v>4.032</v>
      </c>
      <c r="BZ85" s="179">
        <f t="shared" si="155"/>
        <v>0.9103448416437302</v>
      </c>
      <c r="CA85" s="6">
        <f t="shared" si="156"/>
        <v>91.034484164373026</v>
      </c>
      <c r="CB85">
        <f t="shared" si="157"/>
        <v>80</v>
      </c>
      <c r="CD85" s="581">
        <f t="shared" si="140"/>
        <v>-50</v>
      </c>
      <c r="CE85">
        <f t="shared" si="141"/>
        <v>-50</v>
      </c>
    </row>
    <row r="86" spans="5:83" x14ac:dyDescent="0.2">
      <c r="E86" s="176">
        <v>81</v>
      </c>
      <c r="F86" s="223">
        <f t="shared" si="158"/>
        <v>8.9100000000000013E-2</v>
      </c>
      <c r="G86" s="223">
        <f t="shared" si="142"/>
        <v>0.16200000000000003</v>
      </c>
      <c r="H86" s="223">
        <f t="shared" si="95"/>
        <v>2.1384000000000003</v>
      </c>
      <c r="I86" s="223">
        <f t="shared" si="159"/>
        <v>1.9440000000000004</v>
      </c>
      <c r="J86" s="559">
        <f t="shared" si="96"/>
        <v>12</v>
      </c>
      <c r="K86" s="454">
        <f t="shared" si="97"/>
        <v>24.25</v>
      </c>
      <c r="L86" s="454">
        <f t="shared" si="98"/>
        <v>36.25</v>
      </c>
      <c r="M86" s="454"/>
      <c r="N86" s="223">
        <f t="shared" si="99"/>
        <v>0.66896551724137931</v>
      </c>
      <c r="O86" s="178">
        <f t="shared" si="143"/>
        <v>2.8961428571428565</v>
      </c>
      <c r="P86" s="178">
        <f t="shared" si="100"/>
        <v>5.0263636363636364</v>
      </c>
      <c r="Q86" s="223">
        <f t="shared" si="101"/>
        <v>0.12067261904761901</v>
      </c>
      <c r="R86" s="223">
        <f t="shared" si="102"/>
        <v>0.24134523809523803</v>
      </c>
      <c r="S86" s="454">
        <f t="shared" si="103"/>
        <v>24</v>
      </c>
      <c r="T86" s="223">
        <f t="shared" si="104"/>
        <v>1.0706239826370052</v>
      </c>
      <c r="U86" s="223">
        <f t="shared" si="105"/>
        <v>4.1932772653282706</v>
      </c>
      <c r="V86" s="223">
        <f t="shared" si="106"/>
        <v>2.0750238013995563</v>
      </c>
      <c r="W86" s="203">
        <f t="shared" si="107"/>
        <v>350</v>
      </c>
      <c r="X86" s="454">
        <f t="shared" si="144"/>
        <v>159.53286055578997</v>
      </c>
      <c r="Z86" s="223">
        <f t="shared" si="108"/>
        <v>0.48799916151346817</v>
      </c>
      <c r="AA86" s="179">
        <f t="shared" si="109"/>
        <v>0.94581280788177335</v>
      </c>
      <c r="AB86" s="179">
        <f t="shared" si="110"/>
        <v>8.077227500912576E-2</v>
      </c>
      <c r="AC86" s="179"/>
      <c r="AD86" s="179">
        <f t="shared" si="111"/>
        <v>0.56206185567010303</v>
      </c>
      <c r="AE86" s="563">
        <f t="shared" si="112"/>
        <v>1093.2653629164877</v>
      </c>
      <c r="AF86" s="546">
        <f t="shared" si="113"/>
        <v>2.8524639175257726E-2</v>
      </c>
      <c r="AH86" s="179">
        <f t="shared" si="114"/>
        <v>0.70451431889771765</v>
      </c>
      <c r="AI86" s="179">
        <f t="shared" si="115"/>
        <v>1.0706239826370052</v>
      </c>
      <c r="AJ86" s="179">
        <f t="shared" si="116"/>
        <v>1.7782399871385222</v>
      </c>
      <c r="AL86" s="563">
        <f t="shared" si="117"/>
        <v>89.100000000000009</v>
      </c>
      <c r="AM86" s="472">
        <f t="shared" si="118"/>
        <v>159.53286055578997</v>
      </c>
      <c r="AO86">
        <f t="shared" si="145"/>
        <v>89.100000000000009</v>
      </c>
      <c r="AP86">
        <f t="shared" si="119"/>
        <v>159.53286055578997</v>
      </c>
      <c r="AR86" s="6">
        <f t="shared" si="146"/>
        <v>6.2683010667278278</v>
      </c>
      <c r="AS86" s="6">
        <f t="shared" si="120"/>
        <v>4.1932772653282706</v>
      </c>
      <c r="AT86" s="6">
        <f t="shared" si="147"/>
        <v>2.0750238013995572</v>
      </c>
      <c r="AU86" s="179">
        <f t="shared" si="148"/>
        <v>0.6689655172413792</v>
      </c>
      <c r="AW86" s="6">
        <f t="shared" si="121"/>
        <v>1.5567541847531206</v>
      </c>
      <c r="AX86" s="6">
        <f t="shared" si="122"/>
        <v>5.6609243081931666</v>
      </c>
      <c r="AY86" s="6">
        <f t="shared" si="123"/>
        <v>0.64871796738491427</v>
      </c>
      <c r="AZ86" s="6"/>
      <c r="BA86" s="179">
        <f t="shared" si="149"/>
        <v>0.50556640384515139</v>
      </c>
      <c r="BB86" s="179">
        <f t="shared" si="124"/>
        <v>0.35564192952404916</v>
      </c>
      <c r="BC86" s="179">
        <f t="shared" si="125"/>
        <v>0.64002350953307552</v>
      </c>
      <c r="BD86" s="179"/>
      <c r="BE86" s="546">
        <f t="shared" si="126"/>
        <v>8.9459086043921554E-2</v>
      </c>
      <c r="BF86" s="546">
        <f t="shared" si="127"/>
        <v>4.643617021276595E-2</v>
      </c>
      <c r="BG86" s="546">
        <f t="shared" si="128"/>
        <v>1.9941607569473746E-3</v>
      </c>
      <c r="BH86" s="546">
        <f t="shared" si="129"/>
        <v>1.0481807478704639E-2</v>
      </c>
      <c r="BI86">
        <f t="shared" si="130"/>
        <v>3.48E-3</v>
      </c>
      <c r="BJ86">
        <f t="shared" si="131"/>
        <v>0.15670881755343671</v>
      </c>
      <c r="BK86" s="472">
        <f t="shared" si="150"/>
        <v>156.70881755343672</v>
      </c>
      <c r="BL86" s="179">
        <f t="shared" si="132"/>
        <v>2.6730000000000004E-2</v>
      </c>
      <c r="BM86" s="179">
        <f t="shared" si="133"/>
        <v>4.8600000000000011E-2</v>
      </c>
      <c r="BN86" s="546"/>
      <c r="BP86" s="472">
        <f t="shared" si="151"/>
        <v>75.330000000000013</v>
      </c>
      <c r="BQ86" s="546">
        <f t="shared" si="134"/>
        <v>5.1119477739383745E-2</v>
      </c>
      <c r="BR86" s="546">
        <f t="shared" si="135"/>
        <v>2.5296236407117752E-2</v>
      </c>
      <c r="BS86" s="546">
        <f t="shared" si="136"/>
        <v>4.0963009275503483E-2</v>
      </c>
      <c r="BT86" s="546">
        <f t="shared" si="137"/>
        <v>1.9062848865117579E-2</v>
      </c>
      <c r="BU86" s="546">
        <f t="shared" si="138"/>
        <v>0.13773494444306883</v>
      </c>
      <c r="BV86" s="656">
        <f t="shared" si="139"/>
        <v>3.3829518477043678E-2</v>
      </c>
      <c r="BW86" s="472">
        <f t="shared" si="152"/>
        <v>171.5644629201125</v>
      </c>
      <c r="BX86" s="179">
        <f t="shared" si="153"/>
        <v>0.40360328047354926</v>
      </c>
      <c r="BY86" s="6">
        <f t="shared" si="154"/>
        <v>4.0824000000000007</v>
      </c>
      <c r="BZ86" s="179">
        <f t="shared" si="155"/>
        <v>0.91003054272600881</v>
      </c>
      <c r="CA86" s="6">
        <f t="shared" si="156"/>
        <v>91.003054272600878</v>
      </c>
      <c r="CB86">
        <f t="shared" si="157"/>
        <v>81.000000000000014</v>
      </c>
      <c r="CD86" s="581">
        <f t="shared" si="140"/>
        <v>-50</v>
      </c>
      <c r="CE86">
        <f t="shared" si="141"/>
        <v>-50</v>
      </c>
    </row>
    <row r="87" spans="5:83" x14ac:dyDescent="0.2">
      <c r="E87" s="176">
        <v>82</v>
      </c>
      <c r="F87" s="223">
        <f t="shared" si="158"/>
        <v>9.0199999999999989E-2</v>
      </c>
      <c r="G87" s="223">
        <f t="shared" si="142"/>
        <v>0.16400000000000001</v>
      </c>
      <c r="H87" s="223">
        <f t="shared" si="95"/>
        <v>2.1647999999999996</v>
      </c>
      <c r="I87" s="223">
        <f t="shared" si="159"/>
        <v>1.968</v>
      </c>
      <c r="J87" s="559">
        <f t="shared" si="96"/>
        <v>12</v>
      </c>
      <c r="K87" s="454">
        <f t="shared" si="97"/>
        <v>24.25</v>
      </c>
      <c r="L87" s="454">
        <f t="shared" si="98"/>
        <v>36.25</v>
      </c>
      <c r="M87" s="454"/>
      <c r="N87" s="223">
        <f t="shared" si="99"/>
        <v>0.66896551724137931</v>
      </c>
      <c r="O87" s="178">
        <f t="shared" si="143"/>
        <v>2.8961428571428565</v>
      </c>
      <c r="P87" s="178">
        <f t="shared" si="100"/>
        <v>5.0263636363636364</v>
      </c>
      <c r="Q87" s="223">
        <f t="shared" si="101"/>
        <v>0.12067261904761901</v>
      </c>
      <c r="R87" s="223">
        <f t="shared" si="102"/>
        <v>0.24134523809523803</v>
      </c>
      <c r="S87" s="454">
        <f t="shared" si="103"/>
        <v>24</v>
      </c>
      <c r="T87" s="223">
        <f t="shared" si="104"/>
        <v>1.0838415626695606</v>
      </c>
      <c r="U87" s="223">
        <f t="shared" si="105"/>
        <v>4.245046120455779</v>
      </c>
      <c r="V87" s="223">
        <f t="shared" si="106"/>
        <v>2.1006413791946117</v>
      </c>
      <c r="W87" s="203">
        <f t="shared" si="107"/>
        <v>350</v>
      </c>
      <c r="X87" s="454">
        <f t="shared" si="144"/>
        <v>157.58733786608528</v>
      </c>
      <c r="Z87" s="223">
        <f t="shared" si="108"/>
        <v>0.48799916151346817</v>
      </c>
      <c r="AA87" s="179">
        <f t="shared" si="109"/>
        <v>0.94581280788177335</v>
      </c>
      <c r="AB87" s="179">
        <f t="shared" si="110"/>
        <v>8.077227500912576E-2</v>
      </c>
      <c r="AC87" s="179"/>
      <c r="AD87" s="179">
        <f t="shared" si="111"/>
        <v>0.56206185567010303</v>
      </c>
      <c r="AE87" s="563">
        <f t="shared" si="112"/>
        <v>1106.7624661623699</v>
      </c>
      <c r="AF87" s="546">
        <f t="shared" si="113"/>
        <v>2.8524639175257726E-2</v>
      </c>
      <c r="AH87" s="179">
        <f t="shared" si="114"/>
        <v>0.7088498325501551</v>
      </c>
      <c r="AI87" s="179">
        <f t="shared" si="115"/>
        <v>1.0838415626695606</v>
      </c>
      <c r="AJ87" s="179">
        <f t="shared" si="116"/>
        <v>1.7880307871626373</v>
      </c>
      <c r="AL87" s="563">
        <f t="shared" si="117"/>
        <v>90.199999999999989</v>
      </c>
      <c r="AM87" s="472">
        <f t="shared" si="118"/>
        <v>157.58733786608528</v>
      </c>
      <c r="AO87">
        <f t="shared" si="145"/>
        <v>90.199999999999989</v>
      </c>
      <c r="AP87">
        <f t="shared" si="119"/>
        <v>157.58733786608528</v>
      </c>
      <c r="AR87" s="6">
        <f t="shared" si="146"/>
        <v>6.3456874996503903</v>
      </c>
      <c r="AS87" s="6">
        <f t="shared" si="120"/>
        <v>4.245046120455779</v>
      </c>
      <c r="AT87" s="6">
        <f t="shared" si="147"/>
        <v>2.1006413791946112</v>
      </c>
      <c r="AU87" s="179">
        <f t="shared" si="148"/>
        <v>0.66896551724137943</v>
      </c>
      <c r="AW87" s="6">
        <f t="shared" si="121"/>
        <v>1.59542983360463</v>
      </c>
      <c r="AX87" s="6">
        <f t="shared" si="122"/>
        <v>5.8015630312895645</v>
      </c>
      <c r="AY87" s="6">
        <f t="shared" si="123"/>
        <v>0.66483456983632938</v>
      </c>
      <c r="AZ87" s="6"/>
      <c r="BA87" s="179">
        <f t="shared" si="149"/>
        <v>0.5118079643864496</v>
      </c>
      <c r="BB87" s="179">
        <f t="shared" si="124"/>
        <v>0.36003257062928412</v>
      </c>
      <c r="BC87" s="179">
        <f t="shared" si="125"/>
        <v>0.64792503434212545</v>
      </c>
      <c r="BD87" s="179"/>
      <c r="BE87" s="546">
        <f t="shared" si="126"/>
        <v>9.1681587343290433E-2</v>
      </c>
      <c r="BF87" s="546">
        <f t="shared" si="127"/>
        <v>4.6436170212765956E-2</v>
      </c>
      <c r="BG87" s="546">
        <f t="shared" si="128"/>
        <v>1.9698417233260657E-3</v>
      </c>
      <c r="BH87" s="546">
        <f t="shared" si="129"/>
        <v>1.0353980558232636E-2</v>
      </c>
      <c r="BI87">
        <f t="shared" si="130"/>
        <v>3.48E-3</v>
      </c>
      <c r="BJ87">
        <f t="shared" si="131"/>
        <v>0.15897174166856445</v>
      </c>
      <c r="BK87" s="472">
        <f t="shared" si="150"/>
        <v>158.97174166856445</v>
      </c>
      <c r="BL87" s="179">
        <f t="shared" si="132"/>
        <v>2.7059999999999997E-2</v>
      </c>
      <c r="BM87" s="179">
        <f t="shared" si="133"/>
        <v>4.9200000000000001E-2</v>
      </c>
      <c r="BN87" s="546"/>
      <c r="BP87" s="472">
        <f t="shared" si="151"/>
        <v>76.259999999999991</v>
      </c>
      <c r="BQ87" s="546">
        <f t="shared" si="134"/>
        <v>5.2389478481880247E-2</v>
      </c>
      <c r="BR87" s="546">
        <f t="shared" si="135"/>
        <v>2.5924690382786095E-2</v>
      </c>
      <c r="BS87" s="546">
        <f t="shared" si="136"/>
        <v>4.198068501272445E-2</v>
      </c>
      <c r="BT87" s="546">
        <f t="shared" si="137"/>
        <v>1.9062848865117617E-2</v>
      </c>
      <c r="BU87" s="546">
        <f t="shared" si="138"/>
        <v>0.14071185571224612</v>
      </c>
      <c r="BV87" s="656">
        <f t="shared" si="139"/>
        <v>3.4247166853303479E-2</v>
      </c>
      <c r="BW87" s="472">
        <f t="shared" si="152"/>
        <v>174.95902256554959</v>
      </c>
      <c r="BX87" s="179">
        <f t="shared" si="153"/>
        <v>0.41019076423411405</v>
      </c>
      <c r="BY87" s="6">
        <f t="shared" si="154"/>
        <v>4.1327999999999996</v>
      </c>
      <c r="BZ87" s="179">
        <f t="shared" si="155"/>
        <v>0.90970909131855415</v>
      </c>
      <c r="CA87" s="6">
        <f t="shared" si="156"/>
        <v>90.970909131855421</v>
      </c>
      <c r="CB87">
        <f t="shared" si="157"/>
        <v>81.999999999999986</v>
      </c>
      <c r="CD87" s="581">
        <f t="shared" si="140"/>
        <v>-50</v>
      </c>
      <c r="CE87">
        <f t="shared" si="141"/>
        <v>-50</v>
      </c>
    </row>
    <row r="88" spans="5:83" x14ac:dyDescent="0.2">
      <c r="E88" s="176">
        <v>83</v>
      </c>
      <c r="F88" s="223">
        <f t="shared" si="158"/>
        <v>9.1299999999999992E-2</v>
      </c>
      <c r="G88" s="223">
        <f t="shared" si="142"/>
        <v>0.16600000000000001</v>
      </c>
      <c r="H88" s="223">
        <f t="shared" si="95"/>
        <v>2.1911999999999998</v>
      </c>
      <c r="I88" s="223">
        <f t="shared" si="159"/>
        <v>1.992</v>
      </c>
      <c r="J88" s="559">
        <f t="shared" si="96"/>
        <v>12</v>
      </c>
      <c r="K88" s="454">
        <f t="shared" si="97"/>
        <v>24.25</v>
      </c>
      <c r="L88" s="454">
        <f t="shared" si="98"/>
        <v>36.25</v>
      </c>
      <c r="M88" s="454"/>
      <c r="N88" s="223">
        <f t="shared" si="99"/>
        <v>0.66896551724137931</v>
      </c>
      <c r="O88" s="178">
        <f t="shared" si="143"/>
        <v>2.8961428571428565</v>
      </c>
      <c r="P88" s="178">
        <f t="shared" si="100"/>
        <v>5.0263636363636364</v>
      </c>
      <c r="Q88" s="223">
        <f t="shared" si="101"/>
        <v>0.12067261904761901</v>
      </c>
      <c r="R88" s="223">
        <f t="shared" si="102"/>
        <v>0.24134523809523803</v>
      </c>
      <c r="S88" s="454">
        <f t="shared" si="103"/>
        <v>24</v>
      </c>
      <c r="T88" s="223">
        <f t="shared" si="104"/>
        <v>1.0970591427021161</v>
      </c>
      <c r="U88" s="223">
        <f t="shared" si="105"/>
        <v>4.2968149755832883</v>
      </c>
      <c r="V88" s="223">
        <f t="shared" si="106"/>
        <v>2.1262589569896684</v>
      </c>
      <c r="W88" s="203">
        <f t="shared" si="107"/>
        <v>350</v>
      </c>
      <c r="X88" s="454">
        <f t="shared" si="144"/>
        <v>155.6886952411927</v>
      </c>
      <c r="Z88" s="223">
        <f t="shared" si="108"/>
        <v>0.48799916151346817</v>
      </c>
      <c r="AA88" s="179">
        <f t="shared" si="109"/>
        <v>0.94581280788177335</v>
      </c>
      <c r="AB88" s="179">
        <f t="shared" si="110"/>
        <v>8.077227500912576E-2</v>
      </c>
      <c r="AC88" s="179"/>
      <c r="AD88" s="179">
        <f t="shared" si="111"/>
        <v>0.56206185567010303</v>
      </c>
      <c r="AE88" s="563">
        <f t="shared" si="112"/>
        <v>1120.2595694082529</v>
      </c>
      <c r="AF88" s="546">
        <f t="shared" si="113"/>
        <v>2.8524639175257726E-2</v>
      </c>
      <c r="AH88" s="179">
        <f t="shared" si="114"/>
        <v>0.71315898976374892</v>
      </c>
      <c r="AI88" s="179">
        <f t="shared" si="115"/>
        <v>1.0970591427021161</v>
      </c>
      <c r="AJ88" s="179">
        <f t="shared" si="116"/>
        <v>1.7978215871867524</v>
      </c>
      <c r="AL88" s="563">
        <f t="shared" si="117"/>
        <v>91.3</v>
      </c>
      <c r="AM88" s="472">
        <f t="shared" si="118"/>
        <v>155.6886952411927</v>
      </c>
      <c r="AO88">
        <f t="shared" si="145"/>
        <v>91.3</v>
      </c>
      <c r="AP88">
        <f t="shared" si="119"/>
        <v>155.6886952411927</v>
      </c>
      <c r="AR88" s="6">
        <f t="shared" si="146"/>
        <v>6.4230739325729553</v>
      </c>
      <c r="AS88" s="6">
        <f t="shared" si="120"/>
        <v>4.2968149755832883</v>
      </c>
      <c r="AT88" s="6">
        <f t="shared" si="147"/>
        <v>2.126258956989667</v>
      </c>
      <c r="AU88" s="179">
        <f t="shared" si="148"/>
        <v>0.66896551724137943</v>
      </c>
      <c r="AW88" s="6">
        <f t="shared" si="121"/>
        <v>1.634580030294809</v>
      </c>
      <c r="AX88" s="6">
        <f t="shared" si="122"/>
        <v>5.9439273828902159</v>
      </c>
      <c r="AY88" s="6">
        <f t="shared" si="123"/>
        <v>0.68114892201107569</v>
      </c>
      <c r="AZ88" s="6"/>
      <c r="BA88" s="179">
        <f t="shared" si="149"/>
        <v>0.5180495249277477</v>
      </c>
      <c r="BB88" s="179">
        <f t="shared" si="124"/>
        <v>0.36442321173451925</v>
      </c>
      <c r="BC88" s="179">
        <f t="shared" si="125"/>
        <v>0.65582655915117583</v>
      </c>
      <c r="BD88" s="179"/>
      <c r="BE88" s="546">
        <f t="shared" si="126"/>
        <v>9.3931358597252781E-2</v>
      </c>
      <c r="BF88" s="546">
        <f t="shared" si="127"/>
        <v>4.6436170212765963E-2</v>
      </c>
      <c r="BG88" s="546">
        <f t="shared" si="128"/>
        <v>1.9461086905149087E-3</v>
      </c>
      <c r="BH88" s="546">
        <f t="shared" si="129"/>
        <v>1.022923380451899E-2</v>
      </c>
      <c r="BI88">
        <f t="shared" si="130"/>
        <v>3.48E-3</v>
      </c>
      <c r="BJ88">
        <f t="shared" si="131"/>
        <v>0.1612718200264866</v>
      </c>
      <c r="BK88" s="472">
        <f t="shared" si="150"/>
        <v>161.27182002648661</v>
      </c>
      <c r="BL88" s="179">
        <f t="shared" si="132"/>
        <v>2.7389999999999998E-2</v>
      </c>
      <c r="BM88" s="179">
        <f t="shared" si="133"/>
        <v>4.9800000000000004E-2</v>
      </c>
      <c r="BN88" s="546"/>
      <c r="BP88" s="472">
        <f t="shared" si="151"/>
        <v>77.190000000000012</v>
      </c>
      <c r="BQ88" s="546">
        <f t="shared" si="134"/>
        <v>5.3675062055573021E-2</v>
      </c>
      <c r="BR88" s="546">
        <f t="shared" si="135"/>
        <v>2.656085545018045E-2</v>
      </c>
      <c r="BS88" s="546">
        <f t="shared" si="136"/>
        <v>4.3010847568807076E-2</v>
      </c>
      <c r="BT88" s="546">
        <f t="shared" si="137"/>
        <v>1.906284886511762E-2</v>
      </c>
      <c r="BU88" s="546">
        <f t="shared" si="138"/>
        <v>0.14372672222520025</v>
      </c>
      <c r="BV88" s="656">
        <f t="shared" si="139"/>
        <v>3.466481522956328E-2</v>
      </c>
      <c r="BW88" s="472">
        <f t="shared" si="152"/>
        <v>178.39153745476352</v>
      </c>
      <c r="BX88" s="179">
        <f t="shared" si="153"/>
        <v>0.41685335748125013</v>
      </c>
      <c r="BY88" s="6">
        <f t="shared" si="154"/>
        <v>4.1831999999999994</v>
      </c>
      <c r="BZ88" s="179">
        <f t="shared" si="155"/>
        <v>0.90938075602899138</v>
      </c>
      <c r="CA88" s="6">
        <f t="shared" si="156"/>
        <v>90.938075602899133</v>
      </c>
      <c r="CB88">
        <f t="shared" si="157"/>
        <v>83</v>
      </c>
      <c r="CD88" s="581">
        <f t="shared" si="140"/>
        <v>-50</v>
      </c>
      <c r="CE88">
        <f t="shared" si="141"/>
        <v>-50</v>
      </c>
    </row>
    <row r="89" spans="5:83" x14ac:dyDescent="0.2">
      <c r="E89" s="176">
        <v>84</v>
      </c>
      <c r="F89" s="223">
        <f t="shared" si="158"/>
        <v>9.2399999999999996E-2</v>
      </c>
      <c r="G89" s="223">
        <f t="shared" si="142"/>
        <v>0.16800000000000001</v>
      </c>
      <c r="H89" s="223">
        <f t="shared" si="95"/>
        <v>2.2176</v>
      </c>
      <c r="I89" s="223">
        <f t="shared" si="159"/>
        <v>2.016</v>
      </c>
      <c r="J89" s="559">
        <f t="shared" si="96"/>
        <v>12</v>
      </c>
      <c r="K89" s="454">
        <f t="shared" si="97"/>
        <v>24.25</v>
      </c>
      <c r="L89" s="454">
        <f t="shared" si="98"/>
        <v>36.25</v>
      </c>
      <c r="M89" s="454"/>
      <c r="N89" s="223">
        <f t="shared" si="99"/>
        <v>0.66896551724137931</v>
      </c>
      <c r="O89" s="178">
        <f t="shared" si="143"/>
        <v>2.8961428571428565</v>
      </c>
      <c r="P89" s="178">
        <f t="shared" si="100"/>
        <v>5.0263636363636364</v>
      </c>
      <c r="Q89" s="223">
        <f t="shared" si="101"/>
        <v>0.12067261904761901</v>
      </c>
      <c r="R89" s="223">
        <f t="shared" si="102"/>
        <v>0.24134523809523803</v>
      </c>
      <c r="S89" s="454">
        <f t="shared" si="103"/>
        <v>24</v>
      </c>
      <c r="T89" s="223">
        <f t="shared" si="104"/>
        <v>1.1102767227346719</v>
      </c>
      <c r="U89" s="223">
        <f t="shared" si="105"/>
        <v>4.3485838307107985</v>
      </c>
      <c r="V89" s="223">
        <f t="shared" si="106"/>
        <v>2.1518765347847246</v>
      </c>
      <c r="W89" s="203">
        <f t="shared" si="107"/>
        <v>350</v>
      </c>
      <c r="X89" s="454">
        <f t="shared" si="144"/>
        <v>153.83525839308322</v>
      </c>
      <c r="Z89" s="223">
        <f t="shared" si="108"/>
        <v>0.48799916151346817</v>
      </c>
      <c r="AA89" s="179">
        <f t="shared" si="109"/>
        <v>0.94581280788177335</v>
      </c>
      <c r="AB89" s="179">
        <f t="shared" si="110"/>
        <v>8.077227500912576E-2</v>
      </c>
      <c r="AC89" s="179"/>
      <c r="AD89" s="179">
        <f t="shared" si="111"/>
        <v>0.56206185567010303</v>
      </c>
      <c r="AE89" s="563">
        <f t="shared" si="112"/>
        <v>1133.7566726541354</v>
      </c>
      <c r="AF89" s="546">
        <f t="shared" si="113"/>
        <v>2.8524639175257726E-2</v>
      </c>
      <c r="AH89" s="179">
        <f t="shared" si="114"/>
        <v>0.71744226545089962</v>
      </c>
      <c r="AI89" s="179">
        <f t="shared" si="115"/>
        <v>1.1102767227346719</v>
      </c>
      <c r="AJ89" s="179">
        <f t="shared" si="116"/>
        <v>1.807612387210868</v>
      </c>
      <c r="AL89" s="563">
        <f t="shared" si="117"/>
        <v>92.399999999999991</v>
      </c>
      <c r="AM89" s="472">
        <f t="shared" si="118"/>
        <v>153.83525839308322</v>
      </c>
      <c r="AO89">
        <f t="shared" si="145"/>
        <v>92.399999999999991</v>
      </c>
      <c r="AP89">
        <f t="shared" si="119"/>
        <v>153.83525839308322</v>
      </c>
      <c r="AR89" s="6">
        <f t="shared" si="146"/>
        <v>6.5004603654955231</v>
      </c>
      <c r="AS89" s="6">
        <f t="shared" si="120"/>
        <v>4.3485838307107985</v>
      </c>
      <c r="AT89" s="6">
        <f t="shared" si="147"/>
        <v>2.1518765347847246</v>
      </c>
      <c r="AU89" s="179">
        <f t="shared" si="148"/>
        <v>0.66896551724137931</v>
      </c>
      <c r="AW89" s="6">
        <f t="shared" si="121"/>
        <v>1.6742047748236575</v>
      </c>
      <c r="AX89" s="6">
        <f t="shared" si="122"/>
        <v>6.0880173629951182</v>
      </c>
      <c r="AY89" s="6">
        <f t="shared" si="123"/>
        <v>0.69766102390915274</v>
      </c>
      <c r="AZ89" s="6"/>
      <c r="BA89" s="179">
        <f t="shared" si="149"/>
        <v>0.5242910854690459</v>
      </c>
      <c r="BB89" s="179">
        <f t="shared" si="124"/>
        <v>0.36881385283975454</v>
      </c>
      <c r="BC89" s="179">
        <f t="shared" si="125"/>
        <v>0.66372808396022631</v>
      </c>
      <c r="BD89" s="179"/>
      <c r="BE89" s="546">
        <f t="shared" si="126"/>
        <v>9.6208399805808642E-2</v>
      </c>
      <c r="BF89" s="546">
        <f t="shared" si="127"/>
        <v>4.6436170212765956E-2</v>
      </c>
      <c r="BG89" s="546">
        <f t="shared" si="128"/>
        <v>1.9229407299135404E-3</v>
      </c>
      <c r="BH89" s="546">
        <f t="shared" si="129"/>
        <v>1.0107457211608047E-2</v>
      </c>
      <c r="BI89">
        <f t="shared" si="130"/>
        <v>3.48E-3</v>
      </c>
      <c r="BJ89">
        <f t="shared" si="131"/>
        <v>0.16360907451312809</v>
      </c>
      <c r="BK89" s="472">
        <f t="shared" si="150"/>
        <v>163.60907451312809</v>
      </c>
      <c r="BL89" s="179">
        <f t="shared" si="132"/>
        <v>2.7719999999999998E-2</v>
      </c>
      <c r="BM89" s="179">
        <f t="shared" si="133"/>
        <v>5.04E-2</v>
      </c>
      <c r="BN89" s="546"/>
      <c r="BP89" s="472">
        <f t="shared" si="151"/>
        <v>78.11999999999999</v>
      </c>
      <c r="BQ89" s="546">
        <f t="shared" si="134"/>
        <v>5.4976228460462087E-2</v>
      </c>
      <c r="BR89" s="546">
        <f t="shared" si="135"/>
        <v>2.7204731609300828E-2</v>
      </c>
      <c r="BS89" s="546">
        <f t="shared" si="136"/>
        <v>4.4053496943751325E-2</v>
      </c>
      <c r="BT89" s="546">
        <f t="shared" si="137"/>
        <v>1.9062848865117606E-2</v>
      </c>
      <c r="BU89" s="546">
        <f t="shared" si="138"/>
        <v>0.14677959729989704</v>
      </c>
      <c r="BV89" s="656">
        <f t="shared" si="139"/>
        <v>3.508246360582308E-2</v>
      </c>
      <c r="BW89" s="472">
        <f t="shared" si="152"/>
        <v>181.86206090572011</v>
      </c>
      <c r="BX89" s="179">
        <f t="shared" si="153"/>
        <v>0.42359113541884819</v>
      </c>
      <c r="BY89" s="6">
        <f t="shared" si="154"/>
        <v>4.2336</v>
      </c>
      <c r="BZ89" s="179">
        <f t="shared" si="155"/>
        <v>0.90904579109984229</v>
      </c>
      <c r="CA89" s="6">
        <f t="shared" si="156"/>
        <v>90.904579109984226</v>
      </c>
      <c r="CB89">
        <f t="shared" si="157"/>
        <v>84</v>
      </c>
      <c r="CD89" s="581">
        <f t="shared" si="140"/>
        <v>-50</v>
      </c>
      <c r="CE89">
        <f t="shared" si="141"/>
        <v>-50</v>
      </c>
    </row>
    <row r="90" spans="5:83" x14ac:dyDescent="0.2">
      <c r="E90" s="176">
        <v>85</v>
      </c>
      <c r="F90" s="223">
        <f t="shared" si="158"/>
        <v>9.35E-2</v>
      </c>
      <c r="G90" s="223">
        <f t="shared" si="142"/>
        <v>0.17</v>
      </c>
      <c r="H90" s="223">
        <f t="shared" si="95"/>
        <v>2.2439999999999998</v>
      </c>
      <c r="I90" s="223">
        <f t="shared" si="159"/>
        <v>2.04</v>
      </c>
      <c r="J90" s="559">
        <f t="shared" si="96"/>
        <v>12</v>
      </c>
      <c r="K90" s="454">
        <f t="shared" si="97"/>
        <v>24.25</v>
      </c>
      <c r="L90" s="454">
        <f t="shared" si="98"/>
        <v>36.25</v>
      </c>
      <c r="M90" s="454"/>
      <c r="N90" s="223">
        <f t="shared" si="99"/>
        <v>0.66896551724137931</v>
      </c>
      <c r="O90" s="178">
        <f t="shared" si="143"/>
        <v>2.8961428571428565</v>
      </c>
      <c r="P90" s="178">
        <f t="shared" si="100"/>
        <v>5.0263636363636364</v>
      </c>
      <c r="Q90" s="223">
        <f t="shared" si="101"/>
        <v>0.12067261904761901</v>
      </c>
      <c r="R90" s="223">
        <f t="shared" si="102"/>
        <v>0.24134523809523803</v>
      </c>
      <c r="S90" s="454">
        <f t="shared" si="103"/>
        <v>24</v>
      </c>
      <c r="T90" s="223">
        <f t="shared" si="104"/>
        <v>1.1234943027672275</v>
      </c>
      <c r="U90" s="223">
        <f t="shared" si="105"/>
        <v>4.4003526858383069</v>
      </c>
      <c r="V90" s="223">
        <f t="shared" si="106"/>
        <v>2.1774941125797809</v>
      </c>
      <c r="W90" s="203">
        <f t="shared" si="107"/>
        <v>350</v>
      </c>
      <c r="X90" s="454">
        <f t="shared" si="144"/>
        <v>152.02543182375285</v>
      </c>
      <c r="Z90" s="223">
        <f t="shared" si="108"/>
        <v>0.48799916151346817</v>
      </c>
      <c r="AA90" s="179">
        <f t="shared" si="109"/>
        <v>0.94581280788177335</v>
      </c>
      <c r="AB90" s="179">
        <f t="shared" si="110"/>
        <v>8.077227500912576E-2</v>
      </c>
      <c r="AC90" s="179"/>
      <c r="AD90" s="179">
        <f t="shared" si="111"/>
        <v>0.56206185567010303</v>
      </c>
      <c r="AE90" s="563">
        <f t="shared" si="112"/>
        <v>1147.2537759000179</v>
      </c>
      <c r="AF90" s="546">
        <f t="shared" si="113"/>
        <v>2.8524639175257726E-2</v>
      </c>
      <c r="AH90" s="179">
        <f t="shared" si="114"/>
        <v>0.72170012043076948</v>
      </c>
      <c r="AI90" s="179">
        <f t="shared" si="115"/>
        <v>1.1234943027672275</v>
      </c>
      <c r="AJ90" s="179">
        <f t="shared" si="116"/>
        <v>1.8174031872349832</v>
      </c>
      <c r="AL90" s="563">
        <f t="shared" si="117"/>
        <v>93.5</v>
      </c>
      <c r="AM90" s="472">
        <f t="shared" si="118"/>
        <v>152.02543182375285</v>
      </c>
      <c r="AO90">
        <f t="shared" si="145"/>
        <v>93.5</v>
      </c>
      <c r="AP90">
        <f t="shared" si="119"/>
        <v>152.02543182375285</v>
      </c>
      <c r="AR90" s="6">
        <f t="shared" si="146"/>
        <v>6.5778467984180882</v>
      </c>
      <c r="AS90" s="6">
        <f t="shared" si="120"/>
        <v>4.4003526858383069</v>
      </c>
      <c r="AT90" s="6">
        <f t="shared" si="147"/>
        <v>2.1774941125797813</v>
      </c>
      <c r="AU90" s="179">
        <f t="shared" si="148"/>
        <v>0.6689655172413792</v>
      </c>
      <c r="AW90" s="6">
        <f t="shared" si="121"/>
        <v>1.7143040671911738</v>
      </c>
      <c r="AX90" s="6">
        <f t="shared" si="122"/>
        <v>6.2338329716042686</v>
      </c>
      <c r="AY90" s="6">
        <f t="shared" si="123"/>
        <v>0.71437087553055967</v>
      </c>
      <c r="AZ90" s="6"/>
      <c r="BA90" s="179">
        <f t="shared" si="149"/>
        <v>0.530532646010344</v>
      </c>
      <c r="BB90" s="179">
        <f t="shared" si="124"/>
        <v>0.37320449394498978</v>
      </c>
      <c r="BC90" s="179">
        <f t="shared" si="125"/>
        <v>0.67162960876927669</v>
      </c>
      <c r="BD90" s="179"/>
      <c r="BE90" s="546">
        <f t="shared" si="126"/>
        <v>9.8512710968957945E-2</v>
      </c>
      <c r="BF90" s="546">
        <f t="shared" si="127"/>
        <v>4.6436170212765956E-2</v>
      </c>
      <c r="BG90" s="546">
        <f t="shared" si="128"/>
        <v>1.9003178977969107E-3</v>
      </c>
      <c r="BH90" s="546">
        <f t="shared" si="129"/>
        <v>9.9885459502950125E-3</v>
      </c>
      <c r="BI90">
        <f t="shared" si="130"/>
        <v>3.48E-3</v>
      </c>
      <c r="BJ90">
        <f t="shared" si="131"/>
        <v>0.16598353564704199</v>
      </c>
      <c r="BK90" s="472">
        <f t="shared" si="150"/>
        <v>165.983535647042</v>
      </c>
      <c r="BL90" s="179">
        <f t="shared" si="132"/>
        <v>2.8049999999999999E-2</v>
      </c>
      <c r="BM90" s="179">
        <f t="shared" si="133"/>
        <v>5.1000000000000004E-2</v>
      </c>
      <c r="BN90" s="546"/>
      <c r="BP90" s="472">
        <f t="shared" si="151"/>
        <v>79.050000000000011</v>
      </c>
      <c r="BQ90" s="546">
        <f t="shared" si="134"/>
        <v>5.6292977696547397E-2</v>
      </c>
      <c r="BR90" s="546">
        <f t="shared" si="135"/>
        <v>2.7856318860147184E-2</v>
      </c>
      <c r="BS90" s="546">
        <f t="shared" si="136"/>
        <v>4.5108633137557169E-2</v>
      </c>
      <c r="BT90" s="546">
        <f t="shared" si="137"/>
        <v>1.9062848865117634E-2</v>
      </c>
      <c r="BU90" s="546">
        <f t="shared" si="138"/>
        <v>0.14987053496511021</v>
      </c>
      <c r="BV90" s="656">
        <f t="shared" si="139"/>
        <v>3.5500111982082874E-2</v>
      </c>
      <c r="BW90" s="472">
        <f t="shared" si="152"/>
        <v>185.37064694719308</v>
      </c>
      <c r="BX90" s="179">
        <f t="shared" si="153"/>
        <v>0.43040418259423507</v>
      </c>
      <c r="BY90" s="6">
        <f t="shared" si="154"/>
        <v>4.2839999999999998</v>
      </c>
      <c r="BZ90" s="179">
        <f t="shared" si="155"/>
        <v>0.90870443731080497</v>
      </c>
      <c r="CA90" s="6">
        <f t="shared" si="156"/>
        <v>90.870443731080499</v>
      </c>
      <c r="CB90">
        <f t="shared" si="157"/>
        <v>85</v>
      </c>
      <c r="CD90" s="581">
        <f t="shared" si="140"/>
        <v>-50</v>
      </c>
      <c r="CE90">
        <f t="shared" si="141"/>
        <v>-50</v>
      </c>
    </row>
    <row r="91" spans="5:83" x14ac:dyDescent="0.2">
      <c r="E91" s="176">
        <v>86</v>
      </c>
      <c r="F91" s="223">
        <f t="shared" si="158"/>
        <v>9.4600000000000004E-2</v>
      </c>
      <c r="G91" s="223">
        <f t="shared" si="142"/>
        <v>0.17200000000000001</v>
      </c>
      <c r="H91" s="223">
        <f t="shared" si="95"/>
        <v>2.2704</v>
      </c>
      <c r="I91" s="223">
        <f t="shared" si="159"/>
        <v>2.0640000000000001</v>
      </c>
      <c r="J91" s="559">
        <f t="shared" si="96"/>
        <v>12</v>
      </c>
      <c r="K91" s="454">
        <f t="shared" si="97"/>
        <v>24.25</v>
      </c>
      <c r="L91" s="454">
        <f t="shared" si="98"/>
        <v>36.25</v>
      </c>
      <c r="M91" s="454"/>
      <c r="N91" s="223">
        <f t="shared" si="99"/>
        <v>0.66896551724137931</v>
      </c>
      <c r="O91" s="178">
        <f t="shared" si="143"/>
        <v>2.8961428571428565</v>
      </c>
      <c r="P91" s="178">
        <f t="shared" si="100"/>
        <v>5.0263636363636364</v>
      </c>
      <c r="Q91" s="223">
        <f t="shared" si="101"/>
        <v>0.12067261904761901</v>
      </c>
      <c r="R91" s="223">
        <f t="shared" si="102"/>
        <v>0.24134523809523803</v>
      </c>
      <c r="S91" s="454">
        <f t="shared" si="103"/>
        <v>24</v>
      </c>
      <c r="T91" s="223">
        <f t="shared" si="104"/>
        <v>1.1367118827997833</v>
      </c>
      <c r="U91" s="223">
        <f t="shared" si="105"/>
        <v>4.452121540965817</v>
      </c>
      <c r="V91" s="223">
        <f t="shared" si="106"/>
        <v>2.2031116903748376</v>
      </c>
      <c r="W91" s="203">
        <f t="shared" si="107"/>
        <v>350</v>
      </c>
      <c r="X91" s="454">
        <f t="shared" si="144"/>
        <v>150.25769424440688</v>
      </c>
      <c r="Z91" s="223">
        <f t="shared" si="108"/>
        <v>0.48799916151346817</v>
      </c>
      <c r="AA91" s="179">
        <f t="shared" si="109"/>
        <v>0.94581280788177335</v>
      </c>
      <c r="AB91" s="179">
        <f t="shared" si="110"/>
        <v>8.077227500912576E-2</v>
      </c>
      <c r="AC91" s="179"/>
      <c r="AD91" s="179">
        <f t="shared" si="111"/>
        <v>0.56206185567010303</v>
      </c>
      <c r="AE91" s="563">
        <f t="shared" si="112"/>
        <v>1160.7508791459004</v>
      </c>
      <c r="AF91" s="546">
        <f t="shared" si="113"/>
        <v>2.8524639175257726E-2</v>
      </c>
      <c r="AH91" s="179">
        <f t="shared" si="114"/>
        <v>0.72593300200793698</v>
      </c>
      <c r="AI91" s="179">
        <f t="shared" si="115"/>
        <v>1.1367118827997833</v>
      </c>
      <c r="AJ91" s="179">
        <f t="shared" si="116"/>
        <v>1.8271939872590988</v>
      </c>
      <c r="AL91" s="563">
        <f t="shared" si="117"/>
        <v>94.600000000000009</v>
      </c>
      <c r="AM91" s="472">
        <f t="shared" si="118"/>
        <v>150.25769424440688</v>
      </c>
      <c r="AO91">
        <f t="shared" si="145"/>
        <v>94.600000000000009</v>
      </c>
      <c r="AP91">
        <f t="shared" si="119"/>
        <v>150.25769424440688</v>
      </c>
      <c r="AR91" s="6">
        <f t="shared" si="146"/>
        <v>6.6552332313406541</v>
      </c>
      <c r="AS91" s="6">
        <f t="shared" si="120"/>
        <v>4.452121540965817</v>
      </c>
      <c r="AT91" s="6">
        <f t="shared" si="147"/>
        <v>2.2031116903748371</v>
      </c>
      <c r="AU91" s="179">
        <f t="shared" si="148"/>
        <v>0.66896551724137931</v>
      </c>
      <c r="AW91" s="6">
        <f t="shared" si="121"/>
        <v>1.7548779073973597</v>
      </c>
      <c r="AX91" s="6">
        <f t="shared" si="122"/>
        <v>6.3813742087176717</v>
      </c>
      <c r="AY91" s="6">
        <f t="shared" si="123"/>
        <v>0.73127847687529679</v>
      </c>
      <c r="AZ91" s="6"/>
      <c r="BA91" s="179">
        <f t="shared" si="149"/>
        <v>0.53677420655164232</v>
      </c>
      <c r="BB91" s="179">
        <f t="shared" si="124"/>
        <v>0.37759513505022496</v>
      </c>
      <c r="BC91" s="179">
        <f t="shared" si="125"/>
        <v>0.67953113357832706</v>
      </c>
      <c r="BD91" s="179"/>
      <c r="BE91" s="546">
        <f t="shared" si="126"/>
        <v>0.1008442920867008</v>
      </c>
      <c r="BF91" s="546">
        <f t="shared" si="127"/>
        <v>4.6436170212765963E-2</v>
      </c>
      <c r="BG91" s="546">
        <f t="shared" si="128"/>
        <v>1.8782211780550859E-3</v>
      </c>
      <c r="BH91" s="546">
        <f t="shared" si="129"/>
        <v>9.872400067152046E-3</v>
      </c>
      <c r="BI91">
        <f t="shared" si="130"/>
        <v>3.48E-3</v>
      </c>
      <c r="BJ91">
        <f t="shared" si="131"/>
        <v>0.1683952422464812</v>
      </c>
      <c r="BK91" s="472">
        <f t="shared" si="150"/>
        <v>168.39524224648119</v>
      </c>
      <c r="BL91" s="179">
        <f t="shared" si="132"/>
        <v>2.8379999999999999E-2</v>
      </c>
      <c r="BM91" s="179">
        <f t="shared" si="133"/>
        <v>5.16E-2</v>
      </c>
      <c r="BN91" s="546"/>
      <c r="BP91" s="472">
        <f t="shared" si="151"/>
        <v>79.97999999999999</v>
      </c>
      <c r="BQ91" s="546">
        <f t="shared" si="134"/>
        <v>5.7625309763829041E-2</v>
      </c>
      <c r="BR91" s="546">
        <f t="shared" si="135"/>
        <v>2.8515617202719525E-2</v>
      </c>
      <c r="BS91" s="546">
        <f t="shared" si="136"/>
        <v>4.6176256150224616E-2</v>
      </c>
      <c r="BT91" s="546">
        <f t="shared" si="137"/>
        <v>1.9062848865117599E-2</v>
      </c>
      <c r="BU91" s="546">
        <f t="shared" si="138"/>
        <v>0.15299958996284316</v>
      </c>
      <c r="BV91" s="656">
        <f t="shared" si="139"/>
        <v>3.5917760358342689E-2</v>
      </c>
      <c r="BW91" s="472">
        <f t="shared" si="152"/>
        <v>188.91735032118584</v>
      </c>
      <c r="BX91" s="179">
        <f t="shared" si="153"/>
        <v>0.43729259256766706</v>
      </c>
      <c r="BY91" s="6">
        <f t="shared" si="154"/>
        <v>4.3344000000000005</v>
      </c>
      <c r="BZ91" s="179">
        <f t="shared" si="155"/>
        <v>0.90835692281418356</v>
      </c>
      <c r="CA91" s="6">
        <f t="shared" si="156"/>
        <v>90.83569228141836</v>
      </c>
      <c r="CB91">
        <f t="shared" si="157"/>
        <v>86</v>
      </c>
      <c r="CD91" s="581">
        <f t="shared" si="140"/>
        <v>-50</v>
      </c>
      <c r="CE91">
        <f t="shared" si="141"/>
        <v>-50</v>
      </c>
    </row>
    <row r="92" spans="5:83" x14ac:dyDescent="0.2">
      <c r="E92" s="176">
        <v>87</v>
      </c>
      <c r="F92" s="223">
        <f t="shared" si="158"/>
        <v>9.5699999999999993E-2</v>
      </c>
      <c r="G92" s="223">
        <f t="shared" si="142"/>
        <v>0.17400000000000002</v>
      </c>
      <c r="H92" s="223">
        <f t="shared" si="95"/>
        <v>2.2967999999999997</v>
      </c>
      <c r="I92" s="223">
        <f t="shared" si="159"/>
        <v>2.0880000000000001</v>
      </c>
      <c r="J92" s="559">
        <f t="shared" si="96"/>
        <v>12</v>
      </c>
      <c r="K92" s="454">
        <f t="shared" si="97"/>
        <v>24.25</v>
      </c>
      <c r="L92" s="454">
        <f t="shared" si="98"/>
        <v>36.25</v>
      </c>
      <c r="M92" s="454"/>
      <c r="N92" s="223">
        <f t="shared" si="99"/>
        <v>0.66896551724137931</v>
      </c>
      <c r="O92" s="178">
        <f t="shared" si="143"/>
        <v>2.8961428571428565</v>
      </c>
      <c r="P92" s="178">
        <f t="shared" si="100"/>
        <v>5.0263636363636364</v>
      </c>
      <c r="Q92" s="223">
        <f t="shared" si="101"/>
        <v>0.12067261904761901</v>
      </c>
      <c r="R92" s="223">
        <f t="shared" si="102"/>
        <v>0.24134523809523803</v>
      </c>
      <c r="S92" s="454">
        <f t="shared" si="103"/>
        <v>24</v>
      </c>
      <c r="T92" s="223">
        <f t="shared" si="104"/>
        <v>1.1499294628323387</v>
      </c>
      <c r="U92" s="223">
        <f t="shared" si="105"/>
        <v>4.5038903960933254</v>
      </c>
      <c r="V92" s="223">
        <f t="shared" si="106"/>
        <v>2.2287292681698934</v>
      </c>
      <c r="W92" s="203">
        <f t="shared" si="107"/>
        <v>350</v>
      </c>
      <c r="X92" s="454">
        <f t="shared" si="144"/>
        <v>148.53059431056315</v>
      </c>
      <c r="Z92" s="223">
        <f t="shared" si="108"/>
        <v>0.48799916151346817</v>
      </c>
      <c r="AA92" s="179">
        <f t="shared" si="109"/>
        <v>0.94581280788177335</v>
      </c>
      <c r="AB92" s="179">
        <f t="shared" si="110"/>
        <v>8.077227500912576E-2</v>
      </c>
      <c r="AC92" s="179"/>
      <c r="AD92" s="179">
        <f t="shared" si="111"/>
        <v>0.56206185567010303</v>
      </c>
      <c r="AE92" s="563">
        <f t="shared" si="112"/>
        <v>1174.2479823917831</v>
      </c>
      <c r="AF92" s="546">
        <f t="shared" si="113"/>
        <v>2.8524639175257726E-2</v>
      </c>
      <c r="AH92" s="179">
        <f t="shared" si="114"/>
        <v>0.73014134452085611</v>
      </c>
      <c r="AI92" s="179">
        <f t="shared" si="115"/>
        <v>1.1499294628323387</v>
      </c>
      <c r="AJ92" s="179">
        <f t="shared" si="116"/>
        <v>1.8369847872832137</v>
      </c>
      <c r="AL92" s="563">
        <f t="shared" si="117"/>
        <v>95.699999999999989</v>
      </c>
      <c r="AM92" s="472">
        <f t="shared" si="118"/>
        <v>148.53059431056315</v>
      </c>
      <c r="AO92">
        <f t="shared" si="145"/>
        <v>95.699999999999989</v>
      </c>
      <c r="AP92">
        <f t="shared" si="119"/>
        <v>148.53059431056315</v>
      </c>
      <c r="AR92" s="6">
        <f t="shared" si="146"/>
        <v>6.7326196642632183</v>
      </c>
      <c r="AS92" s="6">
        <f t="shared" si="120"/>
        <v>4.5038903960933254</v>
      </c>
      <c r="AT92" s="6">
        <f t="shared" si="147"/>
        <v>2.2287292681698929</v>
      </c>
      <c r="AU92" s="179">
        <f t="shared" si="148"/>
        <v>0.66896551724137931</v>
      </c>
      <c r="AW92" s="6">
        <f t="shared" si="121"/>
        <v>1.7959262954422133</v>
      </c>
      <c r="AX92" s="6">
        <f t="shared" si="122"/>
        <v>6.530641074335322</v>
      </c>
      <c r="AY92" s="6">
        <f t="shared" si="123"/>
        <v>0.74838382794336378</v>
      </c>
      <c r="AZ92" s="6"/>
      <c r="BA92" s="179">
        <f t="shared" si="149"/>
        <v>0.5430157670929403</v>
      </c>
      <c r="BB92" s="179">
        <f t="shared" si="124"/>
        <v>0.38198577615546003</v>
      </c>
      <c r="BC92" s="179">
        <f t="shared" si="125"/>
        <v>0.6874326583873771</v>
      </c>
      <c r="BD92" s="179"/>
      <c r="BE92" s="546">
        <f t="shared" si="126"/>
        <v>0.10320314315903703</v>
      </c>
      <c r="BF92" s="546">
        <f t="shared" si="127"/>
        <v>4.6436170212765963E-2</v>
      </c>
      <c r="BG92" s="546">
        <f t="shared" si="128"/>
        <v>1.8566324288820392E-3</v>
      </c>
      <c r="BH92" s="546">
        <f t="shared" si="129"/>
        <v>9.7589242043112194E-3</v>
      </c>
      <c r="BI92">
        <f t="shared" si="130"/>
        <v>3.48E-3</v>
      </c>
      <c r="BJ92">
        <f t="shared" si="131"/>
        <v>0.17084424112166774</v>
      </c>
      <c r="BK92" s="472">
        <f t="shared" si="150"/>
        <v>170.84424112166775</v>
      </c>
      <c r="BL92" s="179">
        <f t="shared" si="132"/>
        <v>2.8709999999999996E-2</v>
      </c>
      <c r="BM92" s="179">
        <f t="shared" si="133"/>
        <v>5.2200000000000003E-2</v>
      </c>
      <c r="BN92" s="546"/>
      <c r="BP92" s="472">
        <f t="shared" si="151"/>
        <v>80.91</v>
      </c>
      <c r="BQ92" s="546">
        <f t="shared" si="134"/>
        <v>5.8973224662306881E-2</v>
      </c>
      <c r="BR92" s="546">
        <f t="shared" si="135"/>
        <v>2.9182626637017844E-2</v>
      </c>
      <c r="BS92" s="546">
        <f t="shared" si="136"/>
        <v>4.7256365981753631E-2</v>
      </c>
      <c r="BT92" s="546">
        <f t="shared" si="137"/>
        <v>1.9062848865117572E-2</v>
      </c>
      <c r="BU92" s="546">
        <f t="shared" si="138"/>
        <v>0.15616681775078503</v>
      </c>
      <c r="BV92" s="656">
        <f t="shared" si="139"/>
        <v>3.6335408734602476E-2</v>
      </c>
      <c r="BW92" s="472">
        <f t="shared" si="152"/>
        <v>192.5022264853875</v>
      </c>
      <c r="BX92" s="179">
        <f t="shared" si="153"/>
        <v>0.44425646760705528</v>
      </c>
      <c r="BY92" s="6">
        <f t="shared" si="154"/>
        <v>4.3848000000000003</v>
      </c>
      <c r="BZ92" s="179">
        <f t="shared" si="155"/>
        <v>0.90800346390913134</v>
      </c>
      <c r="CA92" s="6">
        <f t="shared" si="156"/>
        <v>90.800346390913134</v>
      </c>
      <c r="CB92">
        <f t="shared" si="157"/>
        <v>86.999999999999986</v>
      </c>
      <c r="CD92" s="581">
        <f t="shared" si="140"/>
        <v>-50</v>
      </c>
      <c r="CE92">
        <f t="shared" si="141"/>
        <v>-50</v>
      </c>
    </row>
    <row r="93" spans="5:83" x14ac:dyDescent="0.2">
      <c r="E93" s="176">
        <v>88</v>
      </c>
      <c r="F93" s="223">
        <f t="shared" si="158"/>
        <v>9.6799999999999997E-2</v>
      </c>
      <c r="G93" s="223">
        <f t="shared" si="142"/>
        <v>0.17600000000000002</v>
      </c>
      <c r="H93" s="223">
        <f t="shared" si="95"/>
        <v>2.3231999999999999</v>
      </c>
      <c r="I93" s="223">
        <f t="shared" si="159"/>
        <v>2.1120000000000001</v>
      </c>
      <c r="J93" s="559">
        <f t="shared" si="96"/>
        <v>12</v>
      </c>
      <c r="K93" s="454">
        <f t="shared" si="97"/>
        <v>24.25</v>
      </c>
      <c r="L93" s="454">
        <f t="shared" si="98"/>
        <v>36.25</v>
      </c>
      <c r="M93" s="454"/>
      <c r="N93" s="223">
        <f t="shared" si="99"/>
        <v>0.66896551724137931</v>
      </c>
      <c r="O93" s="178">
        <f t="shared" si="143"/>
        <v>2.8961428571428565</v>
      </c>
      <c r="P93" s="178">
        <f t="shared" si="100"/>
        <v>5.0263636363636364</v>
      </c>
      <c r="Q93" s="223">
        <f t="shared" si="101"/>
        <v>0.12067261904761901</v>
      </c>
      <c r="R93" s="223">
        <f t="shared" si="102"/>
        <v>0.24134523809523803</v>
      </c>
      <c r="S93" s="454">
        <f t="shared" si="103"/>
        <v>24</v>
      </c>
      <c r="T93" s="223">
        <f t="shared" si="104"/>
        <v>1.1631470428648942</v>
      </c>
      <c r="U93" s="223">
        <f t="shared" si="105"/>
        <v>4.5556592512208356</v>
      </c>
      <c r="V93" s="223">
        <f t="shared" si="106"/>
        <v>2.2543468459649496</v>
      </c>
      <c r="W93" s="203">
        <f t="shared" si="107"/>
        <v>350</v>
      </c>
      <c r="X93" s="454">
        <f t="shared" si="144"/>
        <v>146.84274664794307</v>
      </c>
      <c r="Z93" s="223">
        <f t="shared" si="108"/>
        <v>0.48799916151346817</v>
      </c>
      <c r="AA93" s="179">
        <f t="shared" si="109"/>
        <v>0.94581280788177335</v>
      </c>
      <c r="AB93" s="179">
        <f t="shared" si="110"/>
        <v>8.077227500912576E-2</v>
      </c>
      <c r="AC93" s="179"/>
      <c r="AD93" s="179">
        <f t="shared" si="111"/>
        <v>0.56206185567010303</v>
      </c>
      <c r="AE93" s="563">
        <f t="shared" si="112"/>
        <v>1187.7450856376656</v>
      </c>
      <c r="AF93" s="546">
        <f t="shared" si="113"/>
        <v>2.8524639175257726E-2</v>
      </c>
      <c r="AH93" s="179">
        <f t="shared" si="114"/>
        <v>0.73432556986202757</v>
      </c>
      <c r="AI93" s="179">
        <f t="shared" si="115"/>
        <v>1.1631470428648942</v>
      </c>
      <c r="AJ93" s="179">
        <f t="shared" si="116"/>
        <v>1.846775587307329</v>
      </c>
      <c r="AL93" s="563">
        <f t="shared" si="117"/>
        <v>96.8</v>
      </c>
      <c r="AM93" s="472">
        <f t="shared" si="118"/>
        <v>146.84274664794307</v>
      </c>
      <c r="AO93">
        <f t="shared" si="145"/>
        <v>96.8</v>
      </c>
      <c r="AP93">
        <f t="shared" si="119"/>
        <v>146.84274664794307</v>
      </c>
      <c r="AR93" s="6">
        <f t="shared" si="146"/>
        <v>6.8100060971857861</v>
      </c>
      <c r="AS93" s="6">
        <f t="shared" si="120"/>
        <v>4.5556592512208356</v>
      </c>
      <c r="AT93" s="6">
        <f t="shared" si="147"/>
        <v>2.2543468459649505</v>
      </c>
      <c r="AU93" s="179">
        <f t="shared" si="148"/>
        <v>0.6689655172413792</v>
      </c>
      <c r="AW93" s="6">
        <f t="shared" si="121"/>
        <v>1.8374492313257371</v>
      </c>
      <c r="AX93" s="6">
        <f t="shared" si="122"/>
        <v>6.6816335684572268</v>
      </c>
      <c r="AY93" s="6">
        <f t="shared" si="123"/>
        <v>0.76568692873476196</v>
      </c>
      <c r="AZ93" s="6"/>
      <c r="BA93" s="179">
        <f t="shared" si="149"/>
        <v>0.5492573276342384</v>
      </c>
      <c r="BB93" s="179">
        <f t="shared" si="124"/>
        <v>0.38637641726069527</v>
      </c>
      <c r="BC93" s="179">
        <f t="shared" si="125"/>
        <v>0.69533418319642759</v>
      </c>
      <c r="BD93" s="179"/>
      <c r="BE93" s="546">
        <f t="shared" si="126"/>
        <v>0.10558926418596679</v>
      </c>
      <c r="BF93" s="546">
        <f t="shared" si="127"/>
        <v>4.643617021276595E-2</v>
      </c>
      <c r="BG93" s="546">
        <f t="shared" si="128"/>
        <v>1.8355343330992884E-3</v>
      </c>
      <c r="BH93" s="546">
        <f t="shared" si="129"/>
        <v>9.6480273383531354E-3</v>
      </c>
      <c r="BI93">
        <f t="shared" si="130"/>
        <v>3.48E-3</v>
      </c>
      <c r="BJ93">
        <f t="shared" si="131"/>
        <v>0.17333058679030328</v>
      </c>
      <c r="BK93" s="472">
        <f t="shared" si="150"/>
        <v>173.33058679030327</v>
      </c>
      <c r="BL93" s="179">
        <f t="shared" si="132"/>
        <v>2.9039999999999996E-2</v>
      </c>
      <c r="BM93" s="179">
        <f t="shared" si="133"/>
        <v>5.2800000000000007E-2</v>
      </c>
      <c r="BN93" s="546"/>
      <c r="BP93" s="472">
        <f t="shared" si="151"/>
        <v>81.839999999999989</v>
      </c>
      <c r="BQ93" s="546">
        <f t="shared" si="134"/>
        <v>6.0336722391981026E-2</v>
      </c>
      <c r="BR93" s="546">
        <f t="shared" si="135"/>
        <v>2.9857347163042183E-2</v>
      </c>
      <c r="BS93" s="546">
        <f t="shared" si="136"/>
        <v>4.8348962632144311E-2</v>
      </c>
      <c r="BT93" s="546">
        <f t="shared" si="137"/>
        <v>1.9062848865117603E-2</v>
      </c>
      <c r="BU93" s="546">
        <f t="shared" si="138"/>
        <v>0.15937227450480199</v>
      </c>
      <c r="BV93" s="656">
        <f t="shared" si="139"/>
        <v>3.6753057110862263E-2</v>
      </c>
      <c r="BW93" s="472">
        <f t="shared" si="152"/>
        <v>196.12533161566427</v>
      </c>
      <c r="BX93" s="179">
        <f t="shared" si="153"/>
        <v>0.45129591840596756</v>
      </c>
      <c r="BY93" s="6">
        <f t="shared" si="154"/>
        <v>4.4352</v>
      </c>
      <c r="BZ93" s="179">
        <f t="shared" si="155"/>
        <v>0.90764426575983193</v>
      </c>
      <c r="CA93" s="6">
        <f t="shared" si="156"/>
        <v>90.764426575983194</v>
      </c>
      <c r="CB93">
        <f t="shared" si="157"/>
        <v>88</v>
      </c>
      <c r="CD93" s="581">
        <f t="shared" si="140"/>
        <v>-50</v>
      </c>
      <c r="CE93">
        <f t="shared" si="141"/>
        <v>-50</v>
      </c>
    </row>
    <row r="94" spans="5:83" x14ac:dyDescent="0.2">
      <c r="E94" s="176">
        <v>89</v>
      </c>
      <c r="F94" s="223">
        <f t="shared" si="158"/>
        <v>9.7900000000000001E-2</v>
      </c>
      <c r="G94" s="223">
        <f t="shared" si="142"/>
        <v>0.17800000000000002</v>
      </c>
      <c r="H94" s="223">
        <f t="shared" si="95"/>
        <v>2.3496000000000001</v>
      </c>
      <c r="I94" s="223">
        <f t="shared" si="159"/>
        <v>2.1360000000000001</v>
      </c>
      <c r="J94" s="559">
        <f t="shared" si="96"/>
        <v>12</v>
      </c>
      <c r="K94" s="454">
        <f t="shared" si="97"/>
        <v>24.25</v>
      </c>
      <c r="L94" s="454">
        <f t="shared" si="98"/>
        <v>36.25</v>
      </c>
      <c r="M94" s="454"/>
      <c r="N94" s="223">
        <f t="shared" si="99"/>
        <v>0.66896551724137931</v>
      </c>
      <c r="O94" s="178">
        <f t="shared" si="143"/>
        <v>2.8961428571428565</v>
      </c>
      <c r="P94" s="178">
        <f t="shared" si="100"/>
        <v>5.0263636363636364</v>
      </c>
      <c r="Q94" s="223">
        <f t="shared" si="101"/>
        <v>0.12067261904761901</v>
      </c>
      <c r="R94" s="223">
        <f t="shared" si="102"/>
        <v>0.24134523809523803</v>
      </c>
      <c r="S94" s="454">
        <f t="shared" si="103"/>
        <v>24</v>
      </c>
      <c r="T94" s="223">
        <f t="shared" si="104"/>
        <v>1.1763646228974498</v>
      </c>
      <c r="U94" s="223">
        <f t="shared" si="105"/>
        <v>4.6074281063483449</v>
      </c>
      <c r="V94" s="223">
        <f t="shared" si="106"/>
        <v>2.2799644237600059</v>
      </c>
      <c r="W94" s="203">
        <f t="shared" si="107"/>
        <v>350</v>
      </c>
      <c r="X94" s="454">
        <f t="shared" si="144"/>
        <v>145.19282814628082</v>
      </c>
      <c r="Z94" s="223">
        <f t="shared" si="108"/>
        <v>0.48799916151346817</v>
      </c>
      <c r="AA94" s="179">
        <f t="shared" si="109"/>
        <v>0.94581280788177335</v>
      </c>
      <c r="AB94" s="179">
        <f t="shared" si="110"/>
        <v>8.077227500912576E-2</v>
      </c>
      <c r="AC94" s="179"/>
      <c r="AD94" s="179">
        <f t="shared" si="111"/>
        <v>0.56206185567010303</v>
      </c>
      <c r="AE94" s="563">
        <f t="shared" si="112"/>
        <v>1201.2421888835481</v>
      </c>
      <c r="AF94" s="546">
        <f t="shared" si="113"/>
        <v>2.8524639175257726E-2</v>
      </c>
      <c r="AH94" s="179">
        <f t="shared" si="114"/>
        <v>0.73848608797164184</v>
      </c>
      <c r="AI94" s="179">
        <f t="shared" si="115"/>
        <v>1.1763646228974498</v>
      </c>
      <c r="AJ94" s="179">
        <f t="shared" si="116"/>
        <v>1.8565663873314442</v>
      </c>
      <c r="AL94" s="563">
        <f t="shared" si="117"/>
        <v>97.9</v>
      </c>
      <c r="AM94" s="472">
        <f t="shared" si="118"/>
        <v>145.19282814628082</v>
      </c>
      <c r="AO94">
        <f t="shared" si="145"/>
        <v>97.9</v>
      </c>
      <c r="AP94">
        <f t="shared" si="119"/>
        <v>145.19282814628082</v>
      </c>
      <c r="AR94" s="6">
        <f t="shared" si="146"/>
        <v>6.8873925301083503</v>
      </c>
      <c r="AS94" s="6">
        <f t="shared" si="120"/>
        <v>4.6074281063483449</v>
      </c>
      <c r="AT94" s="6">
        <f t="shared" si="147"/>
        <v>2.2799644237600054</v>
      </c>
      <c r="AU94" s="179">
        <f t="shared" si="148"/>
        <v>0.66896551724137931</v>
      </c>
      <c r="AW94" s="6">
        <f t="shared" si="121"/>
        <v>1.8794467150479293</v>
      </c>
      <c r="AX94" s="6">
        <f t="shared" si="122"/>
        <v>6.8343516910833788</v>
      </c>
      <c r="AY94" s="6">
        <f t="shared" si="123"/>
        <v>0.78318777924948957</v>
      </c>
      <c r="AZ94" s="6"/>
      <c r="BA94" s="179">
        <f t="shared" si="149"/>
        <v>0.55549888817553661</v>
      </c>
      <c r="BB94" s="179">
        <f t="shared" si="124"/>
        <v>0.39076705836593034</v>
      </c>
      <c r="BC94" s="179">
        <f t="shared" si="125"/>
        <v>0.70323570800547774</v>
      </c>
      <c r="BD94" s="179"/>
      <c r="BE94" s="546">
        <f t="shared" si="126"/>
        <v>0.10800265516749005</v>
      </c>
      <c r="BF94" s="546">
        <f t="shared" si="127"/>
        <v>4.6436170212765956E-2</v>
      </c>
      <c r="BG94" s="546">
        <f t="shared" si="128"/>
        <v>1.8149103518285102E-3</v>
      </c>
      <c r="BH94" s="546">
        <f t="shared" si="129"/>
        <v>9.5396225367986066E-3</v>
      </c>
      <c r="BI94">
        <f t="shared" si="130"/>
        <v>3.48E-3</v>
      </c>
      <c r="BJ94">
        <f t="shared" si="131"/>
        <v>0.17585434121453947</v>
      </c>
      <c r="BK94" s="472">
        <f t="shared" si="150"/>
        <v>175.85434121453946</v>
      </c>
      <c r="BL94" s="179">
        <f t="shared" si="132"/>
        <v>2.937E-2</v>
      </c>
      <c r="BM94" s="179">
        <f t="shared" si="133"/>
        <v>5.3400000000000003E-2</v>
      </c>
      <c r="BN94" s="546"/>
      <c r="BP94" s="472">
        <f t="shared" si="151"/>
        <v>82.77000000000001</v>
      </c>
      <c r="BQ94" s="546">
        <f t="shared" si="134"/>
        <v>6.1715802952851465E-2</v>
      </c>
      <c r="BR94" s="546">
        <f t="shared" si="135"/>
        <v>3.0539778780792483E-2</v>
      </c>
      <c r="BS94" s="546">
        <f t="shared" si="136"/>
        <v>4.9454046101396559E-2</v>
      </c>
      <c r="BT94" s="546">
        <f t="shared" si="137"/>
        <v>1.9062848865117579E-2</v>
      </c>
      <c r="BU94" s="546">
        <f t="shared" si="138"/>
        <v>0.16261601712146201</v>
      </c>
      <c r="BV94" s="656">
        <f t="shared" si="139"/>
        <v>3.717070548712207E-2</v>
      </c>
      <c r="BW94" s="472">
        <f t="shared" si="152"/>
        <v>199.78672260858409</v>
      </c>
      <c r="BX94" s="179">
        <f t="shared" si="153"/>
        <v>0.45841106382312358</v>
      </c>
      <c r="BY94" s="6">
        <f t="shared" si="154"/>
        <v>4.4855999999999998</v>
      </c>
      <c r="BZ94" s="179">
        <f t="shared" si="155"/>
        <v>0.907279523062264</v>
      </c>
      <c r="CA94" s="6">
        <f t="shared" si="156"/>
        <v>90.727952306226399</v>
      </c>
      <c r="CB94">
        <f t="shared" si="157"/>
        <v>89</v>
      </c>
      <c r="CD94" s="581">
        <f t="shared" si="140"/>
        <v>-50</v>
      </c>
      <c r="CE94">
        <f t="shared" si="141"/>
        <v>-50</v>
      </c>
    </row>
    <row r="95" spans="5:83" x14ac:dyDescent="0.2">
      <c r="E95" s="176">
        <v>90</v>
      </c>
      <c r="F95" s="223">
        <f t="shared" si="158"/>
        <v>9.9000000000000005E-2</v>
      </c>
      <c r="G95" s="223">
        <f t="shared" si="142"/>
        <v>0.18000000000000002</v>
      </c>
      <c r="H95" s="223">
        <f t="shared" si="95"/>
        <v>2.3760000000000003</v>
      </c>
      <c r="I95" s="223">
        <f t="shared" si="159"/>
        <v>2.16</v>
      </c>
      <c r="J95" s="559">
        <f t="shared" si="96"/>
        <v>12</v>
      </c>
      <c r="K95" s="454">
        <f t="shared" si="97"/>
        <v>24.25</v>
      </c>
      <c r="L95" s="454">
        <f t="shared" si="98"/>
        <v>36.25</v>
      </c>
      <c r="M95" s="454"/>
      <c r="N95" s="223">
        <f t="shared" si="99"/>
        <v>0.66896551724137931</v>
      </c>
      <c r="O95" s="178">
        <f t="shared" si="143"/>
        <v>2.8961428571428565</v>
      </c>
      <c r="P95" s="178">
        <f t="shared" si="100"/>
        <v>5.0263636363636364</v>
      </c>
      <c r="Q95" s="223">
        <f t="shared" si="101"/>
        <v>0.12067261904761901</v>
      </c>
      <c r="R95" s="223">
        <f t="shared" si="102"/>
        <v>0.24134523809523803</v>
      </c>
      <c r="S95" s="454">
        <f t="shared" si="103"/>
        <v>24</v>
      </c>
      <c r="T95" s="223">
        <f t="shared" si="104"/>
        <v>1.1895822029300056</v>
      </c>
      <c r="U95" s="223">
        <f t="shared" si="105"/>
        <v>4.659196961475855</v>
      </c>
      <c r="V95" s="223">
        <f t="shared" si="106"/>
        <v>2.3055820015550621</v>
      </c>
      <c r="W95" s="203">
        <f t="shared" si="107"/>
        <v>350</v>
      </c>
      <c r="X95" s="454">
        <f t="shared" si="144"/>
        <v>143.57957450021104</v>
      </c>
      <c r="Z95" s="223">
        <f t="shared" si="108"/>
        <v>0.48799916151346817</v>
      </c>
      <c r="AA95" s="179">
        <f t="shared" si="109"/>
        <v>0.94581280788177335</v>
      </c>
      <c r="AB95" s="179">
        <f t="shared" si="110"/>
        <v>8.077227500912576E-2</v>
      </c>
      <c r="AC95" s="179"/>
      <c r="AD95" s="179">
        <f t="shared" si="111"/>
        <v>0.56206185567010303</v>
      </c>
      <c r="AE95" s="563">
        <f t="shared" si="112"/>
        <v>1214.7392921294309</v>
      </c>
      <c r="AF95" s="546">
        <f t="shared" si="113"/>
        <v>2.8524639175257726E-2</v>
      </c>
      <c r="AH95" s="179">
        <f t="shared" si="114"/>
        <v>0.74262329730633125</v>
      </c>
      <c r="AI95" s="179">
        <f t="shared" si="115"/>
        <v>1.1895822029300056</v>
      </c>
      <c r="AJ95" s="179">
        <f t="shared" si="116"/>
        <v>1.8663571873555596</v>
      </c>
      <c r="AL95" s="563">
        <f t="shared" si="117"/>
        <v>99</v>
      </c>
      <c r="AM95" s="472">
        <f t="shared" si="118"/>
        <v>143.57957450021104</v>
      </c>
      <c r="AO95">
        <f t="shared" si="145"/>
        <v>99</v>
      </c>
      <c r="AP95">
        <f t="shared" si="119"/>
        <v>143.57957450021104</v>
      </c>
      <c r="AR95" s="6">
        <f t="shared" si="146"/>
        <v>6.9647789630309163</v>
      </c>
      <c r="AS95" s="6">
        <f t="shared" si="120"/>
        <v>4.659196961475855</v>
      </c>
      <c r="AT95" s="6">
        <f t="shared" si="147"/>
        <v>2.3055820015550612</v>
      </c>
      <c r="AU95" s="179">
        <f t="shared" si="148"/>
        <v>0.66896551724137943</v>
      </c>
      <c r="AW95" s="6">
        <f t="shared" si="121"/>
        <v>1.9219187466087904</v>
      </c>
      <c r="AX95" s="6">
        <f t="shared" si="122"/>
        <v>6.9887954422137835</v>
      </c>
      <c r="AY95" s="6">
        <f t="shared" si="123"/>
        <v>0.80088637948754759</v>
      </c>
      <c r="AZ95" s="6"/>
      <c r="BA95" s="179">
        <f t="shared" si="149"/>
        <v>0.56174044871683493</v>
      </c>
      <c r="BB95" s="179">
        <f t="shared" si="124"/>
        <v>0.39515769947116552</v>
      </c>
      <c r="BC95" s="179">
        <f t="shared" si="125"/>
        <v>0.71113723281452801</v>
      </c>
      <c r="BD95" s="179"/>
      <c r="BE95" s="546">
        <f t="shared" si="126"/>
        <v>0.11044331610360687</v>
      </c>
      <c r="BF95" s="546">
        <f t="shared" si="127"/>
        <v>4.6436170212765963E-2</v>
      </c>
      <c r="BG95" s="546">
        <f t="shared" si="128"/>
        <v>1.7947446812526379E-3</v>
      </c>
      <c r="BH95" s="546">
        <f t="shared" si="129"/>
        <v>9.4336267308341784E-3</v>
      </c>
      <c r="BI95">
        <f t="shared" si="130"/>
        <v>3.48E-3</v>
      </c>
      <c r="BJ95">
        <f t="shared" si="131"/>
        <v>0.17841557355778795</v>
      </c>
      <c r="BK95" s="472">
        <f t="shared" si="150"/>
        <v>178.41557355778795</v>
      </c>
      <c r="BL95" s="179">
        <f t="shared" si="132"/>
        <v>2.9700000000000001E-2</v>
      </c>
      <c r="BM95" s="179">
        <f t="shared" si="133"/>
        <v>5.4000000000000006E-2</v>
      </c>
      <c r="BN95" s="546"/>
      <c r="BP95" s="472">
        <f t="shared" si="151"/>
        <v>83.700000000000017</v>
      </c>
      <c r="BQ95" s="546">
        <f t="shared" si="134"/>
        <v>6.3110466344918223E-2</v>
      </c>
      <c r="BR95" s="546">
        <f t="shared" si="135"/>
        <v>3.1229921490268792E-2</v>
      </c>
      <c r="BS95" s="546">
        <f t="shared" si="136"/>
        <v>5.0571616389510424E-2</v>
      </c>
      <c r="BT95" s="546">
        <f t="shared" si="137"/>
        <v>1.9062848865117592E-2</v>
      </c>
      <c r="BU95" s="546">
        <f t="shared" si="138"/>
        <v>0.16589810322059681</v>
      </c>
      <c r="BV95" s="656">
        <f t="shared" si="139"/>
        <v>3.7588353863381878E-2</v>
      </c>
      <c r="BW95" s="472">
        <f t="shared" si="152"/>
        <v>203.48645708397871</v>
      </c>
      <c r="BX95" s="179">
        <f t="shared" si="153"/>
        <v>0.46560203064176664</v>
      </c>
      <c r="BY95" s="6">
        <f t="shared" si="154"/>
        <v>4.5360000000000005</v>
      </c>
      <c r="BZ95" s="179">
        <f t="shared" si="155"/>
        <v>0.9069094206637579</v>
      </c>
      <c r="CA95" s="6">
        <f t="shared" si="156"/>
        <v>90.690942066375797</v>
      </c>
      <c r="CB95">
        <f t="shared" si="157"/>
        <v>90</v>
      </c>
      <c r="CD95" s="581">
        <f t="shared" si="140"/>
        <v>-50</v>
      </c>
      <c r="CE95">
        <f t="shared" si="141"/>
        <v>-50</v>
      </c>
    </row>
    <row r="96" spans="5:83" x14ac:dyDescent="0.2">
      <c r="E96" s="176">
        <v>91</v>
      </c>
      <c r="F96" s="223">
        <f t="shared" si="158"/>
        <v>0.10010000000000001</v>
      </c>
      <c r="G96" s="223">
        <f t="shared" si="142"/>
        <v>0.18200000000000002</v>
      </c>
      <c r="H96" s="223">
        <f t="shared" si="95"/>
        <v>2.4024000000000001</v>
      </c>
      <c r="I96" s="223">
        <f t="shared" si="159"/>
        <v>2.1840000000000002</v>
      </c>
      <c r="J96" s="559">
        <f t="shared" si="96"/>
        <v>12</v>
      </c>
      <c r="K96" s="454">
        <f t="shared" si="97"/>
        <v>24.25</v>
      </c>
      <c r="L96" s="454">
        <f t="shared" si="98"/>
        <v>36.25</v>
      </c>
      <c r="M96" s="454"/>
      <c r="N96" s="223">
        <f t="shared" si="99"/>
        <v>0.66896551724137931</v>
      </c>
      <c r="O96" s="178">
        <f t="shared" si="143"/>
        <v>2.8961428571428565</v>
      </c>
      <c r="P96" s="178">
        <f t="shared" si="100"/>
        <v>5.0263636363636364</v>
      </c>
      <c r="Q96" s="223">
        <f t="shared" si="101"/>
        <v>0.12067261904761901</v>
      </c>
      <c r="R96" s="223">
        <f t="shared" si="102"/>
        <v>0.24134523809523803</v>
      </c>
      <c r="S96" s="454">
        <f t="shared" si="103"/>
        <v>24</v>
      </c>
      <c r="T96" s="223">
        <f t="shared" si="104"/>
        <v>1.2027997829625612</v>
      </c>
      <c r="U96" s="223">
        <f t="shared" si="105"/>
        <v>4.7109658166033643</v>
      </c>
      <c r="V96" s="223">
        <f t="shared" si="106"/>
        <v>2.3311995793501183</v>
      </c>
      <c r="W96" s="203">
        <f t="shared" si="107"/>
        <v>350</v>
      </c>
      <c r="X96" s="454">
        <f t="shared" si="144"/>
        <v>142.00177697823068</v>
      </c>
      <c r="Z96" s="223">
        <f t="shared" si="108"/>
        <v>0.48799916151346817</v>
      </c>
      <c r="AA96" s="179">
        <f t="shared" si="109"/>
        <v>0.94581280788177335</v>
      </c>
      <c r="AB96" s="179">
        <f t="shared" si="110"/>
        <v>8.077227500912576E-2</v>
      </c>
      <c r="AC96" s="179"/>
      <c r="AD96" s="179">
        <f t="shared" si="111"/>
        <v>0.56206185567010303</v>
      </c>
      <c r="AE96" s="563">
        <f t="shared" si="112"/>
        <v>1228.2363953753136</v>
      </c>
      <c r="AF96" s="546">
        <f t="shared" si="113"/>
        <v>2.8524639175257726E-2</v>
      </c>
      <c r="AH96" s="179">
        <f t="shared" si="114"/>
        <v>0.74673758528454681</v>
      </c>
      <c r="AI96" s="179">
        <f t="shared" si="115"/>
        <v>1.2027997829625612</v>
      </c>
      <c r="AJ96" s="179">
        <f t="shared" si="116"/>
        <v>1.8761479873796749</v>
      </c>
      <c r="AL96" s="563">
        <f t="shared" si="117"/>
        <v>100.10000000000001</v>
      </c>
      <c r="AM96" s="472">
        <f t="shared" si="118"/>
        <v>142.00177697823068</v>
      </c>
      <c r="AO96">
        <f t="shared" si="145"/>
        <v>100.10000000000001</v>
      </c>
      <c r="AP96">
        <f t="shared" si="119"/>
        <v>142.00177697823068</v>
      </c>
      <c r="AR96" s="6">
        <f t="shared" si="146"/>
        <v>7.0421653959534831</v>
      </c>
      <c r="AS96" s="6">
        <f t="shared" si="120"/>
        <v>4.7109658166033643</v>
      </c>
      <c r="AT96" s="6">
        <f t="shared" si="147"/>
        <v>2.3311995793501188</v>
      </c>
      <c r="AU96" s="179">
        <f t="shared" si="148"/>
        <v>0.66896551724137931</v>
      </c>
      <c r="AW96" s="6">
        <f t="shared" si="121"/>
        <v>1.9648653260083198</v>
      </c>
      <c r="AX96" s="6">
        <f t="shared" si="122"/>
        <v>7.1449648218484363</v>
      </c>
      <c r="AY96" s="6">
        <f t="shared" si="123"/>
        <v>0.81878272944893649</v>
      </c>
      <c r="AZ96" s="6"/>
      <c r="BA96" s="179">
        <f t="shared" si="149"/>
        <v>0.56798200925813302</v>
      </c>
      <c r="BB96" s="179">
        <f t="shared" si="124"/>
        <v>0.39954834057640076</v>
      </c>
      <c r="BC96" s="179">
        <f t="shared" si="125"/>
        <v>0.71903875762357838</v>
      </c>
      <c r="BD96" s="179"/>
      <c r="BE96" s="546">
        <f t="shared" si="126"/>
        <v>0.11291124699431707</v>
      </c>
      <c r="BF96" s="546">
        <f t="shared" si="127"/>
        <v>4.6436170212765956E-2</v>
      </c>
      <c r="BG96" s="546">
        <f t="shared" si="128"/>
        <v>1.7750222122278835E-3</v>
      </c>
      <c r="BH96" s="546">
        <f t="shared" si="129"/>
        <v>9.3299605030228144E-3</v>
      </c>
      <c r="BI96">
        <f t="shared" si="130"/>
        <v>3.48E-3</v>
      </c>
      <c r="BJ96">
        <f t="shared" si="131"/>
        <v>0.18101435995989174</v>
      </c>
      <c r="BK96" s="472">
        <f t="shared" si="150"/>
        <v>181.01435995989175</v>
      </c>
      <c r="BL96" s="179">
        <f t="shared" si="132"/>
        <v>3.0030000000000001E-2</v>
      </c>
      <c r="BM96" s="179">
        <f t="shared" si="133"/>
        <v>5.4600000000000003E-2</v>
      </c>
      <c r="BN96" s="546"/>
      <c r="BP96" s="472">
        <f t="shared" si="151"/>
        <v>84.63000000000001</v>
      </c>
      <c r="BQ96" s="546">
        <f t="shared" si="134"/>
        <v>6.452071256818119E-2</v>
      </c>
      <c r="BR96" s="546">
        <f t="shared" si="135"/>
        <v>3.192777529147111E-2</v>
      </c>
      <c r="BS96" s="546">
        <f t="shared" si="136"/>
        <v>5.1701673496485911E-2</v>
      </c>
      <c r="BT96" s="546">
        <f t="shared" si="137"/>
        <v>1.9062848865117589E-2</v>
      </c>
      <c r="BU96" s="546">
        <f t="shared" si="138"/>
        <v>0.16921859114789733</v>
      </c>
      <c r="BV96" s="656">
        <f t="shared" si="139"/>
        <v>3.8006002239641665E-2</v>
      </c>
      <c r="BW96" s="472">
        <f t="shared" si="152"/>
        <v>207.22459338753902</v>
      </c>
      <c r="BX96" s="179">
        <f t="shared" si="153"/>
        <v>0.47286895334743073</v>
      </c>
      <c r="BY96" s="6">
        <f t="shared" si="154"/>
        <v>4.5864000000000003</v>
      </c>
      <c r="BZ96" s="179">
        <f t="shared" si="155"/>
        <v>0.9065341341391705</v>
      </c>
      <c r="CA96" s="6">
        <f t="shared" si="156"/>
        <v>90.65341341391705</v>
      </c>
      <c r="CB96">
        <f t="shared" si="157"/>
        <v>91</v>
      </c>
      <c r="CD96" s="581">
        <f t="shared" si="140"/>
        <v>-50</v>
      </c>
      <c r="CE96">
        <f t="shared" si="141"/>
        <v>-50</v>
      </c>
    </row>
    <row r="97" spans="5:83" x14ac:dyDescent="0.2">
      <c r="E97" s="176">
        <v>92</v>
      </c>
      <c r="F97" s="223">
        <f t="shared" si="158"/>
        <v>0.1012</v>
      </c>
      <c r="G97" s="223">
        <f t="shared" si="142"/>
        <v>0.18400000000000002</v>
      </c>
      <c r="H97" s="223">
        <f t="shared" si="95"/>
        <v>2.4287999999999998</v>
      </c>
      <c r="I97" s="223">
        <f t="shared" si="159"/>
        <v>2.2080000000000002</v>
      </c>
      <c r="J97" s="559">
        <f t="shared" si="96"/>
        <v>12</v>
      </c>
      <c r="K97" s="454">
        <f t="shared" si="97"/>
        <v>24.25</v>
      </c>
      <c r="L97" s="454">
        <f t="shared" si="98"/>
        <v>36.25</v>
      </c>
      <c r="M97" s="454"/>
      <c r="N97" s="223">
        <f t="shared" si="99"/>
        <v>0.66896551724137931</v>
      </c>
      <c r="O97" s="178">
        <f t="shared" si="143"/>
        <v>2.8961428571428565</v>
      </c>
      <c r="P97" s="178">
        <f t="shared" si="100"/>
        <v>5.0263636363636364</v>
      </c>
      <c r="Q97" s="223">
        <f t="shared" si="101"/>
        <v>0.12067261904761901</v>
      </c>
      <c r="R97" s="223">
        <f t="shared" si="102"/>
        <v>0.24134523809523803</v>
      </c>
      <c r="S97" s="454">
        <f t="shared" si="103"/>
        <v>24</v>
      </c>
      <c r="T97" s="223">
        <f t="shared" si="104"/>
        <v>1.2160173629951168</v>
      </c>
      <c r="U97" s="223">
        <f t="shared" si="105"/>
        <v>4.7627346717308736</v>
      </c>
      <c r="V97" s="223">
        <f t="shared" si="106"/>
        <v>2.3568171571451746</v>
      </c>
      <c r="W97" s="203">
        <f t="shared" si="107"/>
        <v>350</v>
      </c>
      <c r="X97" s="454">
        <f t="shared" si="144"/>
        <v>140.45827940238036</v>
      </c>
      <c r="Z97" s="223">
        <f t="shared" si="108"/>
        <v>0.48799916151346817</v>
      </c>
      <c r="AA97" s="179">
        <f t="shared" si="109"/>
        <v>0.94581280788177335</v>
      </c>
      <c r="AB97" s="179">
        <f t="shared" si="110"/>
        <v>8.077227500912576E-2</v>
      </c>
      <c r="AC97" s="179"/>
      <c r="AD97" s="179">
        <f t="shared" si="111"/>
        <v>0.56206185567010303</v>
      </c>
      <c r="AE97" s="563">
        <f t="shared" si="112"/>
        <v>1241.7334986211958</v>
      </c>
      <c r="AF97" s="546">
        <f t="shared" si="113"/>
        <v>2.8524639175257726E-2</v>
      </c>
      <c r="AH97" s="179">
        <f t="shared" si="114"/>
        <v>0.75082932870996977</v>
      </c>
      <c r="AI97" s="179">
        <f t="shared" si="115"/>
        <v>1.2160173629951168</v>
      </c>
      <c r="AJ97" s="179">
        <f t="shared" si="116"/>
        <v>1.8859387874037901</v>
      </c>
      <c r="AL97" s="563">
        <f t="shared" si="117"/>
        <v>101.2</v>
      </c>
      <c r="AM97" s="472">
        <f t="shared" si="118"/>
        <v>140.45827940238036</v>
      </c>
      <c r="AO97">
        <f t="shared" si="145"/>
        <v>101.2</v>
      </c>
      <c r="AP97">
        <f t="shared" si="119"/>
        <v>140.45827940238036</v>
      </c>
      <c r="AR97" s="6">
        <f t="shared" si="146"/>
        <v>7.1195518288760473</v>
      </c>
      <c r="AS97" s="6">
        <f t="shared" si="120"/>
        <v>4.7627346717308736</v>
      </c>
      <c r="AT97" s="6">
        <f t="shared" si="147"/>
        <v>2.3568171571451737</v>
      </c>
      <c r="AU97" s="179">
        <f t="shared" si="148"/>
        <v>0.66896551724137943</v>
      </c>
      <c r="AW97" s="6">
        <f t="shared" si="121"/>
        <v>2.0082864532465186</v>
      </c>
      <c r="AX97" s="6">
        <f t="shared" si="122"/>
        <v>7.30285982998734</v>
      </c>
      <c r="AY97" s="6">
        <f t="shared" si="123"/>
        <v>0.83687682913365469</v>
      </c>
      <c r="AZ97" s="6"/>
      <c r="BA97" s="179">
        <f t="shared" si="149"/>
        <v>0.57422356979943123</v>
      </c>
      <c r="BB97" s="179">
        <f t="shared" si="124"/>
        <v>0.40393898168163583</v>
      </c>
      <c r="BC97" s="179">
        <f t="shared" si="125"/>
        <v>0.72694028243262865</v>
      </c>
      <c r="BD97" s="179"/>
      <c r="BE97" s="546">
        <f t="shared" si="126"/>
        <v>0.11540644783962078</v>
      </c>
      <c r="BF97" s="546">
        <f t="shared" si="127"/>
        <v>4.6436170212765956E-2</v>
      </c>
      <c r="BG97" s="546">
        <f t="shared" si="128"/>
        <v>1.7557284925297542E-3</v>
      </c>
      <c r="BH97" s="546">
        <f t="shared" si="129"/>
        <v>9.2285478888595226E-3</v>
      </c>
      <c r="BI97">
        <f t="shared" si="130"/>
        <v>3.48E-3</v>
      </c>
      <c r="BJ97">
        <f t="shared" si="131"/>
        <v>0.1836507833293114</v>
      </c>
      <c r="BK97" s="472">
        <f t="shared" si="150"/>
        <v>183.65078332931139</v>
      </c>
      <c r="BL97" s="179">
        <f t="shared" si="132"/>
        <v>3.0359999999999998E-2</v>
      </c>
      <c r="BM97" s="179">
        <f t="shared" si="133"/>
        <v>5.5200000000000006E-2</v>
      </c>
      <c r="BN97" s="546"/>
      <c r="BP97" s="472">
        <f t="shared" si="151"/>
        <v>85.56</v>
      </c>
      <c r="BQ97" s="546">
        <f t="shared" si="134"/>
        <v>6.594654162264045E-2</v>
      </c>
      <c r="BR97" s="546">
        <f t="shared" si="135"/>
        <v>3.2633340184399388E-2</v>
      </c>
      <c r="BS97" s="546">
        <f t="shared" si="136"/>
        <v>5.2844217422322995E-2</v>
      </c>
      <c r="BT97" s="546">
        <f t="shared" si="137"/>
        <v>1.9062848865117613E-2</v>
      </c>
      <c r="BU97" s="546">
        <f t="shared" si="138"/>
        <v>0.17257753997754599</v>
      </c>
      <c r="BV97" s="656">
        <f t="shared" si="139"/>
        <v>3.8423650615901458E-2</v>
      </c>
      <c r="BW97" s="472">
        <f t="shared" si="152"/>
        <v>211.00119059344746</v>
      </c>
      <c r="BX97" s="179">
        <f t="shared" si="153"/>
        <v>0.48021197392275888</v>
      </c>
      <c r="BY97" s="6">
        <f t="shared" si="154"/>
        <v>4.6368</v>
      </c>
      <c r="BZ97" s="179">
        <f t="shared" si="155"/>
        <v>0.90615383032715024</v>
      </c>
      <c r="CA97" s="6">
        <f t="shared" si="156"/>
        <v>90.61538303271503</v>
      </c>
      <c r="CB97">
        <f t="shared" si="157"/>
        <v>92</v>
      </c>
      <c r="CD97" s="581">
        <f t="shared" si="140"/>
        <v>-50</v>
      </c>
      <c r="CE97">
        <f t="shared" si="141"/>
        <v>-50</v>
      </c>
    </row>
    <row r="98" spans="5:83" x14ac:dyDescent="0.2">
      <c r="E98" s="176">
        <v>93</v>
      </c>
      <c r="F98" s="223">
        <f t="shared" si="158"/>
        <v>0.1023</v>
      </c>
      <c r="G98" s="223">
        <f t="shared" si="142"/>
        <v>0.18600000000000003</v>
      </c>
      <c r="H98" s="223">
        <f t="shared" si="95"/>
        <v>2.4552</v>
      </c>
      <c r="I98" s="223">
        <f t="shared" si="159"/>
        <v>2.2320000000000002</v>
      </c>
      <c r="J98" s="559">
        <f t="shared" si="96"/>
        <v>12</v>
      </c>
      <c r="K98" s="454">
        <f t="shared" si="97"/>
        <v>24.25</v>
      </c>
      <c r="L98" s="454">
        <f t="shared" si="98"/>
        <v>36.25</v>
      </c>
      <c r="M98" s="454"/>
      <c r="N98" s="223">
        <f t="shared" si="99"/>
        <v>0.66896551724137931</v>
      </c>
      <c r="O98" s="178">
        <f t="shared" si="143"/>
        <v>2.8961428571428565</v>
      </c>
      <c r="P98" s="178">
        <f t="shared" si="100"/>
        <v>5.0263636363636364</v>
      </c>
      <c r="Q98" s="223">
        <f t="shared" si="101"/>
        <v>0.12067261904761901</v>
      </c>
      <c r="R98" s="223">
        <f t="shared" si="102"/>
        <v>0.24134523809523803</v>
      </c>
      <c r="S98" s="454">
        <f t="shared" si="103"/>
        <v>24</v>
      </c>
      <c r="T98" s="223">
        <f t="shared" si="104"/>
        <v>1.2292349430276726</v>
      </c>
      <c r="U98" s="223">
        <f t="shared" si="105"/>
        <v>4.8145035268583838</v>
      </c>
      <c r="V98" s="223">
        <f t="shared" si="106"/>
        <v>2.3824347349402308</v>
      </c>
      <c r="W98" s="203">
        <f t="shared" si="107"/>
        <v>350</v>
      </c>
      <c r="X98" s="454">
        <f t="shared" si="144"/>
        <v>138.94797532278486</v>
      </c>
      <c r="Z98" s="223">
        <f t="shared" si="108"/>
        <v>0.48799916151346817</v>
      </c>
      <c r="AA98" s="179">
        <f t="shared" si="109"/>
        <v>0.94581280788177335</v>
      </c>
      <c r="AB98" s="179">
        <f t="shared" si="110"/>
        <v>8.077227500912576E-2</v>
      </c>
      <c r="AC98" s="179"/>
      <c r="AD98" s="179">
        <f t="shared" si="111"/>
        <v>0.56206185567010303</v>
      </c>
      <c r="AE98" s="563">
        <f t="shared" si="112"/>
        <v>1255.2306018670786</v>
      </c>
      <c r="AF98" s="546">
        <f t="shared" si="113"/>
        <v>2.8524639175257726E-2</v>
      </c>
      <c r="AH98" s="179">
        <f t="shared" si="114"/>
        <v>0.75489889417426759</v>
      </c>
      <c r="AI98" s="179">
        <f t="shared" si="115"/>
        <v>1.2292349430276726</v>
      </c>
      <c r="AJ98" s="179">
        <f t="shared" si="116"/>
        <v>1.8957295874279056</v>
      </c>
      <c r="AL98" s="563">
        <f t="shared" si="117"/>
        <v>102.3</v>
      </c>
      <c r="AM98" s="472">
        <f t="shared" si="118"/>
        <v>138.94797532278486</v>
      </c>
      <c r="AO98">
        <f t="shared" si="145"/>
        <v>102.3</v>
      </c>
      <c r="AP98">
        <f t="shared" si="119"/>
        <v>138.94797532278486</v>
      </c>
      <c r="AR98" s="6">
        <f t="shared" si="146"/>
        <v>7.1969382617986142</v>
      </c>
      <c r="AS98" s="6">
        <f t="shared" si="120"/>
        <v>4.8145035268583838</v>
      </c>
      <c r="AT98" s="6">
        <f t="shared" si="147"/>
        <v>2.3824347349402304</v>
      </c>
      <c r="AU98" s="179">
        <f t="shared" si="148"/>
        <v>0.66896551724137943</v>
      </c>
      <c r="AW98" s="6">
        <f t="shared" si="121"/>
        <v>2.0521821283233859</v>
      </c>
      <c r="AX98" s="6">
        <f t="shared" si="122"/>
        <v>7.4624804666304962</v>
      </c>
      <c r="AY98" s="6">
        <f t="shared" si="123"/>
        <v>0.85516867854170364</v>
      </c>
      <c r="AZ98" s="6"/>
      <c r="BA98" s="179">
        <f t="shared" si="149"/>
        <v>0.58046513034072944</v>
      </c>
      <c r="BB98" s="179">
        <f t="shared" si="124"/>
        <v>0.40832962278687107</v>
      </c>
      <c r="BC98" s="179">
        <f t="shared" si="125"/>
        <v>0.73484180724167902</v>
      </c>
      <c r="BD98" s="179"/>
      <c r="BE98" s="546">
        <f t="shared" si="126"/>
        <v>0.117928918639518</v>
      </c>
      <c r="BF98" s="546">
        <f t="shared" si="127"/>
        <v>4.6436170212765963E-2</v>
      </c>
      <c r="BG98" s="546">
        <f t="shared" si="128"/>
        <v>1.7368496915348107E-3</v>
      </c>
      <c r="BH98" s="546">
        <f t="shared" si="129"/>
        <v>9.12931619112985E-3</v>
      </c>
      <c r="BI98">
        <f t="shared" si="130"/>
        <v>3.48E-3</v>
      </c>
      <c r="BJ98">
        <f t="shared" si="131"/>
        <v>0.18632493315109239</v>
      </c>
      <c r="BK98" s="472">
        <f t="shared" si="150"/>
        <v>186.32493315109238</v>
      </c>
      <c r="BL98" s="179">
        <f t="shared" si="132"/>
        <v>3.0689999999999999E-2</v>
      </c>
      <c r="BM98" s="179">
        <f t="shared" si="133"/>
        <v>5.5800000000000009E-2</v>
      </c>
      <c r="BN98" s="546"/>
      <c r="BP98" s="472">
        <f t="shared" si="151"/>
        <v>86.490000000000009</v>
      </c>
      <c r="BQ98" s="546">
        <f t="shared" si="134"/>
        <v>6.7387953508296003E-2</v>
      </c>
      <c r="BR98" s="546">
        <f t="shared" si="135"/>
        <v>3.3346616169053683E-2</v>
      </c>
      <c r="BS98" s="546">
        <f t="shared" si="136"/>
        <v>5.3999248167021702E-2</v>
      </c>
      <c r="BT98" s="546">
        <f t="shared" si="137"/>
        <v>1.9062848865117613E-2</v>
      </c>
      <c r="BU98" s="546">
        <f t="shared" si="138"/>
        <v>0.17597500951488401</v>
      </c>
      <c r="BV98" s="656">
        <f t="shared" si="139"/>
        <v>3.8841298992161266E-2</v>
      </c>
      <c r="BW98" s="472">
        <f t="shared" si="152"/>
        <v>214.81630850704528</v>
      </c>
      <c r="BX98" s="179">
        <f t="shared" si="153"/>
        <v>0.48763124165813765</v>
      </c>
      <c r="BY98" s="6">
        <f t="shared" si="154"/>
        <v>4.6872000000000007</v>
      </c>
      <c r="BZ98" s="179">
        <f t="shared" si="155"/>
        <v>0.9057686678296607</v>
      </c>
      <c r="CA98" s="6">
        <f t="shared" si="156"/>
        <v>90.576866782966064</v>
      </c>
      <c r="CB98">
        <f t="shared" si="157"/>
        <v>93</v>
      </c>
      <c r="CD98" s="581">
        <f t="shared" si="140"/>
        <v>-50</v>
      </c>
      <c r="CE98">
        <f t="shared" si="141"/>
        <v>-50</v>
      </c>
    </row>
    <row r="99" spans="5:83" x14ac:dyDescent="0.2">
      <c r="E99" s="176">
        <v>94</v>
      </c>
      <c r="F99" s="223">
        <f t="shared" si="158"/>
        <v>0.10339999999999999</v>
      </c>
      <c r="G99" s="223">
        <f t="shared" si="142"/>
        <v>0.188</v>
      </c>
      <c r="H99" s="223">
        <f t="shared" si="95"/>
        <v>2.4815999999999998</v>
      </c>
      <c r="I99" s="223">
        <f t="shared" si="159"/>
        <v>2.2560000000000002</v>
      </c>
      <c r="J99" s="559">
        <f t="shared" si="96"/>
        <v>12</v>
      </c>
      <c r="K99" s="454">
        <f t="shared" si="97"/>
        <v>24.25</v>
      </c>
      <c r="L99" s="454">
        <f t="shared" si="98"/>
        <v>36.25</v>
      </c>
      <c r="M99" s="454"/>
      <c r="N99" s="223">
        <f t="shared" si="99"/>
        <v>0.66896551724137931</v>
      </c>
      <c r="O99" s="178">
        <f t="shared" si="143"/>
        <v>2.8961428571428565</v>
      </c>
      <c r="P99" s="178">
        <f t="shared" si="100"/>
        <v>5.0263636363636364</v>
      </c>
      <c r="Q99" s="223">
        <f t="shared" si="101"/>
        <v>0.12067261904761901</v>
      </c>
      <c r="R99" s="223">
        <f t="shared" si="102"/>
        <v>0.24134523809523803</v>
      </c>
      <c r="S99" s="454">
        <f t="shared" si="103"/>
        <v>24</v>
      </c>
      <c r="T99" s="223">
        <f t="shared" si="104"/>
        <v>1.2424525230602281</v>
      </c>
      <c r="U99" s="223">
        <f t="shared" si="105"/>
        <v>4.8662723819858931</v>
      </c>
      <c r="V99" s="223">
        <f t="shared" si="106"/>
        <v>2.4080523127352875</v>
      </c>
      <c r="W99" s="203">
        <f t="shared" si="107"/>
        <v>350</v>
      </c>
      <c r="X99" s="454">
        <f t="shared" si="144"/>
        <v>137.46980537254248</v>
      </c>
      <c r="Z99" s="223">
        <f t="shared" si="108"/>
        <v>0.48799916151346817</v>
      </c>
      <c r="AA99" s="179">
        <f t="shared" si="109"/>
        <v>0.94581280788177335</v>
      </c>
      <c r="AB99" s="179">
        <f t="shared" si="110"/>
        <v>8.077227500912576E-2</v>
      </c>
      <c r="AC99" s="179"/>
      <c r="AD99" s="179">
        <f t="shared" si="111"/>
        <v>0.56206185567010303</v>
      </c>
      <c r="AE99" s="563">
        <f t="shared" si="112"/>
        <v>1268.7277051129608</v>
      </c>
      <c r="AF99" s="546">
        <f t="shared" si="113"/>
        <v>2.8524639175257726E-2</v>
      </c>
      <c r="AH99" s="179">
        <f t="shared" si="114"/>
        <v>0.7589466384404111</v>
      </c>
      <c r="AI99" s="179">
        <f t="shared" si="115"/>
        <v>1.2424525230602281</v>
      </c>
      <c r="AJ99" s="179">
        <f t="shared" si="116"/>
        <v>1.9055203874520208</v>
      </c>
      <c r="AL99" s="563">
        <f t="shared" si="117"/>
        <v>103.39999999999999</v>
      </c>
      <c r="AM99" s="472">
        <f t="shared" si="118"/>
        <v>137.46980537254248</v>
      </c>
      <c r="AO99">
        <f t="shared" si="145"/>
        <v>103.39999999999999</v>
      </c>
      <c r="AP99">
        <f t="shared" si="119"/>
        <v>137.46980537254248</v>
      </c>
      <c r="AR99" s="6">
        <f t="shared" si="146"/>
        <v>7.2743246947211793</v>
      </c>
      <c r="AS99" s="6">
        <f t="shared" si="120"/>
        <v>4.8662723819858931</v>
      </c>
      <c r="AT99" s="6">
        <f t="shared" si="147"/>
        <v>2.4080523127352862</v>
      </c>
      <c r="AU99" s="179">
        <f t="shared" si="148"/>
        <v>0.66896551724137943</v>
      </c>
      <c r="AW99" s="6">
        <f t="shared" si="121"/>
        <v>2.0965523512389219</v>
      </c>
      <c r="AX99" s="6">
        <f t="shared" si="122"/>
        <v>7.6238267317778998</v>
      </c>
      <c r="AY99" s="6">
        <f t="shared" si="123"/>
        <v>0.87365827767308268</v>
      </c>
      <c r="AZ99" s="6"/>
      <c r="BA99" s="179">
        <f t="shared" si="149"/>
        <v>0.58670669088202765</v>
      </c>
      <c r="BB99" s="179">
        <f t="shared" si="124"/>
        <v>0.41272026389210625</v>
      </c>
      <c r="BC99" s="179">
        <f t="shared" si="125"/>
        <v>0.74274333205072929</v>
      </c>
      <c r="BD99" s="179"/>
      <c r="BE99" s="546">
        <f t="shared" si="126"/>
        <v>0.12047865939400869</v>
      </c>
      <c r="BF99" s="546">
        <f t="shared" si="127"/>
        <v>4.6436170212765963E-2</v>
      </c>
      <c r="BG99" s="546">
        <f t="shared" si="128"/>
        <v>1.7183725671567809E-3</v>
      </c>
      <c r="BH99" s="546">
        <f t="shared" si="129"/>
        <v>9.032195806117832E-3</v>
      </c>
      <c r="BI99">
        <f t="shared" si="130"/>
        <v>3.48E-3</v>
      </c>
      <c r="BJ99">
        <f t="shared" si="131"/>
        <v>0.18903690530949019</v>
      </c>
      <c r="BK99" s="472">
        <f t="shared" si="150"/>
        <v>189.03690530949018</v>
      </c>
      <c r="BL99" s="179">
        <f t="shared" si="132"/>
        <v>3.1019999999999995E-2</v>
      </c>
      <c r="BM99" s="179">
        <f t="shared" si="133"/>
        <v>5.6399999999999999E-2</v>
      </c>
      <c r="BN99" s="546"/>
      <c r="BP99" s="472">
        <f t="shared" si="151"/>
        <v>87.42</v>
      </c>
      <c r="BQ99" s="546">
        <f t="shared" si="134"/>
        <v>6.8844948225147834E-2</v>
      </c>
      <c r="BR99" s="546">
        <f t="shared" si="135"/>
        <v>3.4067603245433967E-2</v>
      </c>
      <c r="BS99" s="546">
        <f t="shared" si="136"/>
        <v>5.516676573058199E-2</v>
      </c>
      <c r="BT99" s="546">
        <f t="shared" si="137"/>
        <v>1.906284886511761E-2</v>
      </c>
      <c r="BU99" s="546">
        <f t="shared" si="138"/>
        <v>0.17941106029911508</v>
      </c>
      <c r="BV99" s="656">
        <f t="shared" si="139"/>
        <v>3.9258947368421074E-2</v>
      </c>
      <c r="BW99" s="472">
        <f t="shared" si="152"/>
        <v>218.67000766753614</v>
      </c>
      <c r="BX99" s="179">
        <f t="shared" si="153"/>
        <v>0.49512691297702632</v>
      </c>
      <c r="BY99" s="6">
        <f t="shared" si="154"/>
        <v>4.7376000000000005</v>
      </c>
      <c r="BZ99" s="179">
        <f t="shared" si="155"/>
        <v>0.9053787974776355</v>
      </c>
      <c r="CA99" s="6">
        <f t="shared" si="156"/>
        <v>90.537879747763554</v>
      </c>
      <c r="CB99">
        <f t="shared" si="157"/>
        <v>94</v>
      </c>
      <c r="CD99" s="581">
        <f t="shared" si="140"/>
        <v>-50</v>
      </c>
      <c r="CE99">
        <f t="shared" si="141"/>
        <v>-50</v>
      </c>
    </row>
    <row r="100" spans="5:83" x14ac:dyDescent="0.2">
      <c r="E100" s="176">
        <v>95</v>
      </c>
      <c r="F100" s="223">
        <f t="shared" si="158"/>
        <v>0.1045</v>
      </c>
      <c r="G100" s="223">
        <f t="shared" si="142"/>
        <v>0.19</v>
      </c>
      <c r="H100" s="223">
        <f t="shared" si="95"/>
        <v>2.508</v>
      </c>
      <c r="I100" s="223">
        <f t="shared" si="159"/>
        <v>2.2800000000000002</v>
      </c>
      <c r="J100" s="559">
        <f t="shared" si="96"/>
        <v>12</v>
      </c>
      <c r="K100" s="454">
        <f t="shared" si="97"/>
        <v>24.25</v>
      </c>
      <c r="L100" s="454">
        <f t="shared" si="98"/>
        <v>36.25</v>
      </c>
      <c r="M100" s="454"/>
      <c r="N100" s="223">
        <f t="shared" si="99"/>
        <v>0.66896551724137931</v>
      </c>
      <c r="O100" s="178">
        <f t="shared" si="143"/>
        <v>2.8961428571428565</v>
      </c>
      <c r="P100" s="178">
        <f t="shared" si="100"/>
        <v>5.0263636363636364</v>
      </c>
      <c r="Q100" s="223">
        <f t="shared" si="101"/>
        <v>0.12067261904761901</v>
      </c>
      <c r="R100" s="223">
        <f t="shared" si="102"/>
        <v>0.24134523809523803</v>
      </c>
      <c r="S100" s="454">
        <f t="shared" si="103"/>
        <v>24</v>
      </c>
      <c r="T100" s="223">
        <f t="shared" si="104"/>
        <v>1.2556701030927837</v>
      </c>
      <c r="U100" s="223">
        <f t="shared" si="105"/>
        <v>4.9180412371134032</v>
      </c>
      <c r="V100" s="223">
        <f t="shared" si="106"/>
        <v>2.4336698905303438</v>
      </c>
      <c r="W100" s="203">
        <f t="shared" si="107"/>
        <v>350</v>
      </c>
      <c r="X100" s="454">
        <f t="shared" si="144"/>
        <v>136.02275478967357</v>
      </c>
      <c r="Z100" s="223">
        <f t="shared" si="108"/>
        <v>0.48799916151346817</v>
      </c>
      <c r="AA100" s="179">
        <f t="shared" si="109"/>
        <v>0.94581280788177335</v>
      </c>
      <c r="AB100" s="179">
        <f t="shared" si="110"/>
        <v>8.077227500912576E-2</v>
      </c>
      <c r="AC100" s="179"/>
      <c r="AD100" s="179">
        <f t="shared" si="111"/>
        <v>0.56206185567010303</v>
      </c>
      <c r="AE100" s="563">
        <f t="shared" si="112"/>
        <v>1282.2248083588433</v>
      </c>
      <c r="AF100" s="546">
        <f t="shared" si="113"/>
        <v>2.8524639175257726E-2</v>
      </c>
      <c r="AH100" s="179">
        <f t="shared" si="114"/>
        <v>0.76297290880769031</v>
      </c>
      <c r="AI100" s="179">
        <f t="shared" si="115"/>
        <v>1.2556701030927837</v>
      </c>
      <c r="AJ100" s="179">
        <f t="shared" si="116"/>
        <v>1.9153111874761359</v>
      </c>
      <c r="AL100" s="563">
        <f t="shared" si="117"/>
        <v>104.5</v>
      </c>
      <c r="AM100" s="472">
        <f t="shared" si="118"/>
        <v>136.02275478967357</v>
      </c>
      <c r="AO100">
        <f t="shared" si="145"/>
        <v>104.5</v>
      </c>
      <c r="AP100">
        <f t="shared" si="119"/>
        <v>136.02275478967357</v>
      </c>
      <c r="AR100" s="6">
        <f t="shared" si="146"/>
        <v>7.3517111276437479</v>
      </c>
      <c r="AS100" s="6">
        <f t="shared" si="120"/>
        <v>4.9180412371134032</v>
      </c>
      <c r="AT100" s="6">
        <f t="shared" si="147"/>
        <v>2.4336698905303447</v>
      </c>
      <c r="AU100" s="179">
        <f t="shared" si="148"/>
        <v>0.6689655172413792</v>
      </c>
      <c r="AW100" s="6">
        <f t="shared" si="121"/>
        <v>2.1413971219931276</v>
      </c>
      <c r="AX100" s="6">
        <f t="shared" si="122"/>
        <v>7.7868986254295551</v>
      </c>
      <c r="AY100" s="6">
        <f t="shared" si="123"/>
        <v>0.89234562652779292</v>
      </c>
      <c r="AZ100" s="6"/>
      <c r="BA100" s="179">
        <f t="shared" si="149"/>
        <v>0.59294825142332563</v>
      </c>
      <c r="BB100" s="179">
        <f t="shared" si="124"/>
        <v>0.41711090499734155</v>
      </c>
      <c r="BC100" s="179">
        <f t="shared" si="125"/>
        <v>0.75064485685977989</v>
      </c>
      <c r="BD100" s="179"/>
      <c r="BE100" s="546">
        <f t="shared" si="126"/>
        <v>0.12305567010309278</v>
      </c>
      <c r="BF100" s="546">
        <f t="shared" si="127"/>
        <v>4.643617021276595E-2</v>
      </c>
      <c r="BG100" s="546">
        <f t="shared" si="128"/>
        <v>1.7002844348709197E-3</v>
      </c>
      <c r="BH100" s="546">
        <f t="shared" si="129"/>
        <v>8.9371200607902719E-3</v>
      </c>
      <c r="BI100">
        <f t="shared" si="130"/>
        <v>3.48E-3</v>
      </c>
      <c r="BJ100">
        <f t="shared" si="131"/>
        <v>0.19178680192422295</v>
      </c>
      <c r="BK100" s="472">
        <f t="shared" si="150"/>
        <v>191.78680192422294</v>
      </c>
      <c r="BL100" s="179">
        <f t="shared" si="132"/>
        <v>3.1349999999999996E-2</v>
      </c>
      <c r="BM100" s="179">
        <f t="shared" si="133"/>
        <v>5.6999999999999995E-2</v>
      </c>
      <c r="BN100" s="546"/>
      <c r="BP100" s="472">
        <f t="shared" si="151"/>
        <v>88.34999999999998</v>
      </c>
      <c r="BQ100" s="546">
        <f t="shared" si="134"/>
        <v>7.0317525773195874E-2</v>
      </c>
      <c r="BR100" s="546">
        <f t="shared" si="135"/>
        <v>3.4796301413540259E-2</v>
      </c>
      <c r="BS100" s="546">
        <f t="shared" si="136"/>
        <v>5.6346770113003944E-2</v>
      </c>
      <c r="BT100" s="546">
        <f t="shared" si="137"/>
        <v>1.9062848865117589E-2</v>
      </c>
      <c r="BU100" s="546">
        <f t="shared" si="138"/>
        <v>0.18288575360604525</v>
      </c>
      <c r="BV100" s="656">
        <f t="shared" si="139"/>
        <v>3.9676595744680861E-2</v>
      </c>
      <c r="BW100" s="472">
        <f t="shared" si="152"/>
        <v>222.56234935072609</v>
      </c>
      <c r="BX100" s="179">
        <f t="shared" si="153"/>
        <v>0.50269915127494913</v>
      </c>
      <c r="BY100" s="6">
        <f t="shared" si="154"/>
        <v>4.7880000000000003</v>
      </c>
      <c r="BZ100" s="179">
        <f t="shared" si="155"/>
        <v>0.90498436276539962</v>
      </c>
      <c r="CA100" s="6">
        <f t="shared" si="156"/>
        <v>90.498436276539962</v>
      </c>
      <c r="CB100">
        <f t="shared" si="157"/>
        <v>95</v>
      </c>
      <c r="CD100" s="581">
        <f t="shared" si="140"/>
        <v>-50</v>
      </c>
      <c r="CE100">
        <f t="shared" si="141"/>
        <v>-50</v>
      </c>
    </row>
    <row r="101" spans="5:83" x14ac:dyDescent="0.2">
      <c r="E101" s="176">
        <v>96</v>
      </c>
      <c r="F101" s="223">
        <f t="shared" si="158"/>
        <v>0.1056</v>
      </c>
      <c r="G101" s="223">
        <f t="shared" si="142"/>
        <v>0.192</v>
      </c>
      <c r="H101" s="223">
        <f t="shared" si="95"/>
        <v>2.5343999999999998</v>
      </c>
      <c r="I101" s="223">
        <f t="shared" si="159"/>
        <v>2.3040000000000003</v>
      </c>
      <c r="J101" s="559">
        <f t="shared" si="96"/>
        <v>12</v>
      </c>
      <c r="K101" s="454">
        <f t="shared" si="97"/>
        <v>24.25</v>
      </c>
      <c r="L101" s="454">
        <f t="shared" si="98"/>
        <v>36.25</v>
      </c>
      <c r="M101" s="454"/>
      <c r="N101" s="223">
        <f t="shared" si="99"/>
        <v>0.66896551724137931</v>
      </c>
      <c r="O101" s="178">
        <f t="shared" si="143"/>
        <v>2.8961428571428565</v>
      </c>
      <c r="P101" s="178">
        <f t="shared" si="100"/>
        <v>5.0263636363636364</v>
      </c>
      <c r="Q101" s="223">
        <f t="shared" si="101"/>
        <v>0.12067261904761901</v>
      </c>
      <c r="R101" s="223">
        <f t="shared" si="102"/>
        <v>0.24134523809523803</v>
      </c>
      <c r="S101" s="454">
        <f t="shared" si="103"/>
        <v>24</v>
      </c>
      <c r="T101" s="223">
        <f t="shared" si="104"/>
        <v>1.2688876831253393</v>
      </c>
      <c r="U101" s="223">
        <f t="shared" si="105"/>
        <v>4.9698100922409116</v>
      </c>
      <c r="V101" s="223">
        <f t="shared" si="106"/>
        <v>2.4592874683253996</v>
      </c>
      <c r="W101" s="203">
        <f t="shared" si="107"/>
        <v>350</v>
      </c>
      <c r="X101" s="454">
        <f t="shared" si="144"/>
        <v>134.60585109394785</v>
      </c>
      <c r="Z101" s="223">
        <f t="shared" si="108"/>
        <v>0.48799916151346817</v>
      </c>
      <c r="AA101" s="179">
        <f t="shared" si="109"/>
        <v>0.94581280788177335</v>
      </c>
      <c r="AB101" s="179">
        <f t="shared" ref="AB101:AB105" si="160">0.5*AA101*Z101*Nps*W101/1000*(Pout/Pout_total)</f>
        <v>8.077227500912576E-2</v>
      </c>
      <c r="AC101" s="179"/>
      <c r="AD101" s="179">
        <f t="shared" si="111"/>
        <v>0.56206185567010303</v>
      </c>
      <c r="AE101" s="563">
        <f t="shared" ref="AE101:AE105" si="161">MAX(10, F101/(0.5*AD101/1000000*Isw_min*Nps)/1000*Pout_total/Pout)</f>
        <v>1295.7219116047263</v>
      </c>
      <c r="AF101" s="546">
        <f t="shared" si="113"/>
        <v>2.8524639175257726E-2</v>
      </c>
      <c r="AH101" s="179">
        <f t="shared" si="114"/>
        <v>0.76697804345948273</v>
      </c>
      <c r="AI101" s="179">
        <f t="shared" ref="AI101:AI105" si="162">MAX(IF(F101&gt;AB101,T101,AH101),Isw_min)</f>
        <v>1.2688876831253393</v>
      </c>
      <c r="AJ101" s="179">
        <f t="shared" ref="AJ101:AJ105" si="163">IF(F101&gt;AF101, (AI101-Isw_min)/1.08*0.8+1.2, AE101*0.2/350+1)</f>
        <v>1.9251019875002513</v>
      </c>
      <c r="AL101" s="563">
        <f t="shared" si="117"/>
        <v>105.6</v>
      </c>
      <c r="AM101" s="472">
        <f t="shared" si="118"/>
        <v>134.60585109394785</v>
      </c>
      <c r="AO101">
        <f t="shared" si="145"/>
        <v>105.6</v>
      </c>
      <c r="AP101">
        <f t="shared" si="119"/>
        <v>134.60585109394785</v>
      </c>
      <c r="AR101" s="6">
        <f t="shared" si="146"/>
        <v>7.4290975605663103</v>
      </c>
      <c r="AS101" s="6">
        <f t="shared" si="120"/>
        <v>4.9698100922409116</v>
      </c>
      <c r="AT101" s="6">
        <f t="shared" si="147"/>
        <v>2.4592874683253987</v>
      </c>
      <c r="AU101" s="179">
        <f t="shared" si="148"/>
        <v>0.66896551724137943</v>
      </c>
      <c r="AW101" s="6">
        <f t="shared" si="121"/>
        <v>2.1867164405860011</v>
      </c>
      <c r="AX101" s="6">
        <f t="shared" si="122"/>
        <v>7.9516961475854586</v>
      </c>
      <c r="AY101" s="6">
        <f t="shared" si="123"/>
        <v>0.91123072510583181</v>
      </c>
      <c r="AZ101" s="6"/>
      <c r="BA101" s="179">
        <f t="shared" si="149"/>
        <v>0.59918981196462395</v>
      </c>
      <c r="BB101" s="179">
        <f t="shared" si="124"/>
        <v>0.42150154610257656</v>
      </c>
      <c r="BC101" s="179">
        <f t="shared" si="125"/>
        <v>0.75854638166882993</v>
      </c>
      <c r="BD101" s="179"/>
      <c r="BE101" s="546">
        <f t="shared" si="126"/>
        <v>0.1256599507667705</v>
      </c>
      <c r="BF101" s="546">
        <f t="shared" si="127"/>
        <v>4.6436170212765963E-2</v>
      </c>
      <c r="BG101" s="546">
        <f t="shared" si="128"/>
        <v>1.6825731386743482E-3</v>
      </c>
      <c r="BH101" s="546">
        <f t="shared" si="129"/>
        <v>8.8440250601570427E-3</v>
      </c>
      <c r="BI101">
        <f t="shared" si="130"/>
        <v>3.48E-3</v>
      </c>
      <c r="BJ101">
        <f t="shared" ref="BJ101:BJ105" si="164">(BF101+BG101+BH101+BI101+BE101*(1+RdsonTC*(Ta-25)))/(1-BE101*RdsonTC*ThetaJA)</f>
        <v>0.1945747311994088</v>
      </c>
      <c r="BK101" s="472">
        <f t="shared" si="150"/>
        <v>194.5747311994088</v>
      </c>
      <c r="BL101" s="179">
        <f t="shared" si="132"/>
        <v>3.168E-2</v>
      </c>
      <c r="BM101" s="179">
        <f t="shared" si="133"/>
        <v>5.7599999999999998E-2</v>
      </c>
      <c r="BN101" s="546"/>
      <c r="BP101" s="472">
        <f t="shared" si="151"/>
        <v>89.28</v>
      </c>
      <c r="BQ101" s="546">
        <f t="shared" si="134"/>
        <v>7.180568615244029E-2</v>
      </c>
      <c r="BR101" s="546">
        <f t="shared" si="135"/>
        <v>3.5532710673372499E-2</v>
      </c>
      <c r="BS101" s="546">
        <f t="shared" si="136"/>
        <v>5.7539261314287417E-2</v>
      </c>
      <c r="BT101" s="546">
        <f t="shared" si="137"/>
        <v>1.9062848865117596E-2</v>
      </c>
      <c r="BU101" s="546">
        <f t="shared" ref="BU101:BU105" si="165">(BT101+(BQ101+BR101+BS101)*(1+Ltc*(Ta-25)))/(1-(BQ101+BR101+BS101)*Ltc*ThetaCa)</f>
        <v>0.18639915145085936</v>
      </c>
      <c r="BV101" s="656">
        <f t="shared" si="139"/>
        <v>4.0094244120940668E-2</v>
      </c>
      <c r="BW101" s="472">
        <f t="shared" si="152"/>
        <v>226.49339557180005</v>
      </c>
      <c r="BX101" s="179">
        <f t="shared" si="153"/>
        <v>0.51034812677120878</v>
      </c>
      <c r="BY101" s="6">
        <f t="shared" si="154"/>
        <v>4.8384</v>
      </c>
      <c r="BZ101" s="179">
        <f t="shared" si="155"/>
        <v>0.90458550025624729</v>
      </c>
      <c r="CA101" s="6">
        <f t="shared" si="156"/>
        <v>90.458550025624731</v>
      </c>
      <c r="CB101">
        <f t="shared" si="157"/>
        <v>96</v>
      </c>
      <c r="CD101" s="581">
        <f t="shared" si="140"/>
        <v>-50</v>
      </c>
      <c r="CE101">
        <f t="shared" si="141"/>
        <v>-50</v>
      </c>
    </row>
    <row r="102" spans="5:83" x14ac:dyDescent="0.2">
      <c r="E102" s="176">
        <v>97</v>
      </c>
      <c r="F102" s="223">
        <f t="shared" si="158"/>
        <v>0.1067</v>
      </c>
      <c r="G102" s="223">
        <f t="shared" si="142"/>
        <v>0.19400000000000001</v>
      </c>
      <c r="H102" s="223">
        <f t="shared" si="95"/>
        <v>2.5608</v>
      </c>
      <c r="I102" s="223">
        <f t="shared" si="159"/>
        <v>2.3280000000000003</v>
      </c>
      <c r="J102" s="559">
        <f t="shared" si="96"/>
        <v>12</v>
      </c>
      <c r="K102" s="454">
        <f t="shared" si="97"/>
        <v>24.25</v>
      </c>
      <c r="L102" s="454">
        <f t="shared" si="98"/>
        <v>36.25</v>
      </c>
      <c r="M102" s="454"/>
      <c r="N102" s="223">
        <f t="shared" si="99"/>
        <v>0.66896551724137931</v>
      </c>
      <c r="O102" s="178">
        <f t="shared" ref="O102:O105" si="166">N102*J102*Isw_max*0.5*Efficiency*Pout/(Pout+Pout2)</f>
        <v>2.8961428571428565</v>
      </c>
      <c r="P102" s="178">
        <f t="shared" si="100"/>
        <v>5.0263636363636364</v>
      </c>
      <c r="Q102" s="223">
        <f t="shared" si="101"/>
        <v>0.12067261904761901</v>
      </c>
      <c r="R102" s="223">
        <f t="shared" si="102"/>
        <v>0.24134523809523803</v>
      </c>
      <c r="S102" s="454">
        <f t="shared" si="103"/>
        <v>24</v>
      </c>
      <c r="T102" s="223">
        <f t="shared" si="104"/>
        <v>1.2821052631578949</v>
      </c>
      <c r="U102" s="223">
        <f t="shared" si="105"/>
        <v>5.0215789473684218</v>
      </c>
      <c r="V102" s="223">
        <f t="shared" si="106"/>
        <v>2.4849050461204558</v>
      </c>
      <c r="W102" s="203">
        <f t="shared" si="107"/>
        <v>350</v>
      </c>
      <c r="X102" s="454">
        <f t="shared" si="144"/>
        <v>133.21816190741225</v>
      </c>
      <c r="Z102" s="223">
        <f t="shared" si="108"/>
        <v>0.48799916151346817</v>
      </c>
      <c r="AA102" s="179">
        <f t="shared" si="109"/>
        <v>0.94581280788177335</v>
      </c>
      <c r="AB102" s="179">
        <f t="shared" si="160"/>
        <v>8.077227500912576E-2</v>
      </c>
      <c r="AC102" s="179"/>
      <c r="AD102" s="179">
        <f t="shared" si="111"/>
        <v>0.56206185567010303</v>
      </c>
      <c r="AE102" s="563">
        <f t="shared" si="161"/>
        <v>1309.2190148506088</v>
      </c>
      <c r="AF102" s="546">
        <f t="shared" si="113"/>
        <v>2.8524639175257726E-2</v>
      </c>
      <c r="AH102" s="179">
        <f t="shared" si="114"/>
        <v>0.77096237179476168</v>
      </c>
      <c r="AI102" s="179">
        <f t="shared" si="162"/>
        <v>1.2821052631578949</v>
      </c>
      <c r="AJ102" s="179">
        <f t="shared" si="163"/>
        <v>1.9348927875243664</v>
      </c>
      <c r="AL102" s="563">
        <f t="shared" si="117"/>
        <v>106.7</v>
      </c>
      <c r="AM102" s="472">
        <f t="shared" si="118"/>
        <v>133.21816190741225</v>
      </c>
      <c r="AO102">
        <f t="shared" si="145"/>
        <v>106.7</v>
      </c>
      <c r="AP102">
        <f t="shared" si="119"/>
        <v>133.21816190741225</v>
      </c>
      <c r="AR102" s="6">
        <f t="shared" si="146"/>
        <v>7.506483993488879</v>
      </c>
      <c r="AS102" s="6">
        <f t="shared" si="120"/>
        <v>5.0215789473684218</v>
      </c>
      <c r="AT102" s="6">
        <f t="shared" si="147"/>
        <v>2.4849050461204572</v>
      </c>
      <c r="AU102" s="179">
        <f t="shared" si="148"/>
        <v>0.6689655172413792</v>
      </c>
      <c r="AW102" s="6">
        <f t="shared" si="121"/>
        <v>2.2325103070175443</v>
      </c>
      <c r="AX102" s="6">
        <f t="shared" si="122"/>
        <v>8.1182192982456147</v>
      </c>
      <c r="AY102" s="6">
        <f t="shared" si="123"/>
        <v>0.93031357340720267</v>
      </c>
      <c r="AZ102" s="6"/>
      <c r="BA102" s="179">
        <f t="shared" si="149"/>
        <v>0.60543137250592194</v>
      </c>
      <c r="BB102" s="179">
        <f t="shared" si="124"/>
        <v>0.42589218720781186</v>
      </c>
      <c r="BC102" s="179">
        <f t="shared" si="125"/>
        <v>0.76644790647788041</v>
      </c>
      <c r="BD102" s="179"/>
      <c r="BE102" s="546">
        <f t="shared" si="126"/>
        <v>0.12829150138504153</v>
      </c>
      <c r="BF102" s="546">
        <f t="shared" si="127"/>
        <v>4.6436170212765943E-2</v>
      </c>
      <c r="BG102" s="546">
        <f t="shared" si="128"/>
        <v>1.6652270238426529E-3</v>
      </c>
      <c r="BH102" s="546">
        <f t="shared" si="129"/>
        <v>8.7528495440729465E-3</v>
      </c>
      <c r="BI102">
        <f t="shared" si="130"/>
        <v>3.48E-3</v>
      </c>
      <c r="BJ102">
        <f t="shared" si="164"/>
        <v>0.19740080728432291</v>
      </c>
      <c r="BK102" s="472">
        <f t="shared" si="150"/>
        <v>197.40080728432292</v>
      </c>
      <c r="BL102" s="179">
        <f t="shared" si="132"/>
        <v>3.2009999999999997E-2</v>
      </c>
      <c r="BM102" s="179">
        <f t="shared" si="133"/>
        <v>5.8200000000000002E-2</v>
      </c>
      <c r="BN102" s="546"/>
      <c r="BP102" s="472">
        <f t="shared" si="151"/>
        <v>90.21</v>
      </c>
      <c r="BQ102" s="546">
        <f t="shared" si="134"/>
        <v>7.3309429362880887E-2</v>
      </c>
      <c r="BR102" s="546">
        <f t="shared" si="135"/>
        <v>3.6276831024930775E-2</v>
      </c>
      <c r="BS102" s="546">
        <f t="shared" si="136"/>
        <v>5.8744239334432569E-2</v>
      </c>
      <c r="BT102" s="546">
        <f t="shared" si="137"/>
        <v>1.9062848865117592E-2</v>
      </c>
      <c r="BU102" s="546">
        <f t="shared" si="165"/>
        <v>0.18995131659093381</v>
      </c>
      <c r="BV102" s="656">
        <f t="shared" si="139"/>
        <v>4.0511892497200441E-2</v>
      </c>
      <c r="BW102" s="472">
        <f t="shared" si="152"/>
        <v>230.46320908813425</v>
      </c>
      <c r="BX102" s="179">
        <f t="shared" si="153"/>
        <v>0.51807401637245709</v>
      </c>
      <c r="BY102" s="6">
        <f t="shared" si="154"/>
        <v>4.8887999999999998</v>
      </c>
      <c r="BZ102" s="179">
        <f t="shared" si="155"/>
        <v>0.90418233996137376</v>
      </c>
      <c r="CA102" s="6">
        <f t="shared" si="156"/>
        <v>90.418233996137374</v>
      </c>
      <c r="CB102">
        <f t="shared" si="157"/>
        <v>97</v>
      </c>
      <c r="CD102" s="581">
        <f t="shared" si="140"/>
        <v>-50</v>
      </c>
      <c r="CE102">
        <f t="shared" si="141"/>
        <v>-50</v>
      </c>
    </row>
    <row r="103" spans="5:83" x14ac:dyDescent="0.2">
      <c r="E103" s="176">
        <v>98</v>
      </c>
      <c r="F103" s="223">
        <f t="shared" si="158"/>
        <v>0.10779999999999999</v>
      </c>
      <c r="G103" s="223">
        <f t="shared" si="142"/>
        <v>0.19600000000000001</v>
      </c>
      <c r="H103" s="223">
        <f t="shared" si="95"/>
        <v>2.5871999999999997</v>
      </c>
      <c r="I103" s="223">
        <f t="shared" si="159"/>
        <v>2.3520000000000003</v>
      </c>
      <c r="J103" s="559">
        <f t="shared" si="96"/>
        <v>12</v>
      </c>
      <c r="K103" s="454">
        <f t="shared" si="97"/>
        <v>24.25</v>
      </c>
      <c r="L103" s="454">
        <f t="shared" si="98"/>
        <v>36.25</v>
      </c>
      <c r="M103" s="454"/>
      <c r="N103" s="223">
        <f t="shared" si="99"/>
        <v>0.66896551724137931</v>
      </c>
      <c r="O103" s="178">
        <f t="shared" si="166"/>
        <v>2.8961428571428565</v>
      </c>
      <c r="P103" s="178">
        <f t="shared" si="100"/>
        <v>5.0263636363636364</v>
      </c>
      <c r="Q103" s="223">
        <f t="shared" si="101"/>
        <v>0.12067261904761901</v>
      </c>
      <c r="R103" s="223">
        <f t="shared" si="102"/>
        <v>0.24134523809523803</v>
      </c>
      <c r="S103" s="454">
        <f t="shared" si="103"/>
        <v>24</v>
      </c>
      <c r="T103" s="223">
        <f t="shared" si="104"/>
        <v>1.2953228431904504</v>
      </c>
      <c r="U103" s="223">
        <f t="shared" si="105"/>
        <v>5.0733478024959311</v>
      </c>
      <c r="V103" s="223">
        <f t="shared" si="106"/>
        <v>2.5105226239155121</v>
      </c>
      <c r="W103" s="203">
        <f t="shared" si="107"/>
        <v>350</v>
      </c>
      <c r="X103" s="454">
        <f t="shared" si="144"/>
        <v>131.85879290835706</v>
      </c>
      <c r="Z103" s="223">
        <f t="shared" si="108"/>
        <v>0.48799916151346817</v>
      </c>
      <c r="AA103" s="179">
        <f t="shared" si="109"/>
        <v>0.94581280788177335</v>
      </c>
      <c r="AB103" s="179">
        <f t="shared" si="160"/>
        <v>8.077227500912576E-2</v>
      </c>
      <c r="AC103" s="179"/>
      <c r="AD103" s="179">
        <f t="shared" si="111"/>
        <v>0.56206185567010303</v>
      </c>
      <c r="AE103" s="563">
        <f t="shared" si="161"/>
        <v>1322.7161180964911</v>
      </c>
      <c r="AF103" s="546">
        <f t="shared" si="113"/>
        <v>2.8524639175257726E-2</v>
      </c>
      <c r="AH103" s="179">
        <f t="shared" si="114"/>
        <v>0.77492621474426349</v>
      </c>
      <c r="AI103" s="179">
        <f t="shared" si="162"/>
        <v>1.2953228431904504</v>
      </c>
      <c r="AJ103" s="179">
        <f t="shared" si="163"/>
        <v>1.9446835875484818</v>
      </c>
      <c r="AL103" s="563">
        <f t="shared" si="117"/>
        <v>107.8</v>
      </c>
      <c r="AM103" s="472">
        <f t="shared" si="118"/>
        <v>131.85879290835706</v>
      </c>
      <c r="AO103">
        <f t="shared" si="145"/>
        <v>107.8</v>
      </c>
      <c r="AP103">
        <f t="shared" si="119"/>
        <v>131.85879290835706</v>
      </c>
      <c r="AR103" s="6">
        <f t="shared" si="146"/>
        <v>7.5838704264114432</v>
      </c>
      <c r="AS103" s="6">
        <f t="shared" si="120"/>
        <v>5.0733478024959311</v>
      </c>
      <c r="AT103" s="6">
        <f t="shared" si="147"/>
        <v>2.5105226239155121</v>
      </c>
      <c r="AU103" s="179">
        <f t="shared" si="148"/>
        <v>0.66896551724137931</v>
      </c>
      <c r="AW103" s="6">
        <f t="shared" si="121"/>
        <v>2.2787787212877557</v>
      </c>
      <c r="AX103" s="6">
        <f t="shared" si="122"/>
        <v>8.2864680774100208</v>
      </c>
      <c r="AY103" s="6">
        <f t="shared" si="123"/>
        <v>0.94959417143190217</v>
      </c>
      <c r="AZ103" s="6"/>
      <c r="BA103" s="179">
        <f t="shared" si="149"/>
        <v>0.61167293304722015</v>
      </c>
      <c r="BB103" s="179">
        <f t="shared" si="124"/>
        <v>0.43028282831304693</v>
      </c>
      <c r="BC103" s="179">
        <f t="shared" si="125"/>
        <v>0.77434943128693057</v>
      </c>
      <c r="BD103" s="179"/>
      <c r="BE103" s="546">
        <f t="shared" si="126"/>
        <v>0.13095032195790615</v>
      </c>
      <c r="BF103" s="546">
        <f t="shared" si="127"/>
        <v>4.6436170212765956E-2</v>
      </c>
      <c r="BG103" s="546">
        <f t="shared" si="128"/>
        <v>1.6482349113544632E-3</v>
      </c>
      <c r="BH103" s="546">
        <f t="shared" si="129"/>
        <v>8.6635347528068989E-3</v>
      </c>
      <c r="BI103">
        <f t="shared" si="130"/>
        <v>3.48E-3</v>
      </c>
      <c r="BJ103">
        <f t="shared" si="164"/>
        <v>0.20026515014518498</v>
      </c>
      <c r="BK103" s="472">
        <f t="shared" si="150"/>
        <v>200.26515014518498</v>
      </c>
      <c r="BL103" s="179">
        <f t="shared" si="132"/>
        <v>3.2339999999999994E-2</v>
      </c>
      <c r="BM103" s="179">
        <f t="shared" si="133"/>
        <v>5.8799999999999998E-2</v>
      </c>
      <c r="BN103" s="546"/>
      <c r="BP103" s="472">
        <f t="shared" si="151"/>
        <v>91.14</v>
      </c>
      <c r="BQ103" s="546">
        <f t="shared" si="134"/>
        <v>7.4828755404517819E-2</v>
      </c>
      <c r="BR103" s="546">
        <f t="shared" si="135"/>
        <v>3.7028662468215005E-2</v>
      </c>
      <c r="BS103" s="546">
        <f t="shared" si="136"/>
        <v>5.9961704173439281E-2</v>
      </c>
      <c r="BT103" s="546">
        <f t="shared" si="137"/>
        <v>1.906284886511762E-2</v>
      </c>
      <c r="BU103" s="546">
        <f t="shared" si="165"/>
        <v>0.19354231252868692</v>
      </c>
      <c r="BV103" s="656">
        <f t="shared" si="139"/>
        <v>4.0929540873460249E-2</v>
      </c>
      <c r="BW103" s="472">
        <f t="shared" si="152"/>
        <v>234.47185340214716</v>
      </c>
      <c r="BX103" s="179">
        <f t="shared" si="153"/>
        <v>0.52587700354733213</v>
      </c>
      <c r="BY103" s="6">
        <f t="shared" si="154"/>
        <v>4.9391999999999996</v>
      </c>
      <c r="BZ103" s="179">
        <f t="shared" si="155"/>
        <v>0.90377500569415758</v>
      </c>
      <c r="CA103" s="6">
        <f t="shared" si="156"/>
        <v>90.377500569415758</v>
      </c>
      <c r="CB103">
        <f t="shared" si="157"/>
        <v>98</v>
      </c>
      <c r="CD103" s="581">
        <f t="shared" si="140"/>
        <v>-50</v>
      </c>
      <c r="CE103">
        <f t="shared" si="141"/>
        <v>-50</v>
      </c>
    </row>
    <row r="104" spans="5:83" x14ac:dyDescent="0.2">
      <c r="E104" s="176">
        <v>99</v>
      </c>
      <c r="F104" s="223">
        <f t="shared" ref="F104:F105" si="167">IF(PLOT_TYPE=1, E104/100*Iout_max, min_I*EXP(O104*rr/100))</f>
        <v>0.1089</v>
      </c>
      <c r="G104" s="223">
        <f t="shared" si="142"/>
        <v>0.19800000000000001</v>
      </c>
      <c r="H104" s="223">
        <f t="shared" si="95"/>
        <v>2.6135999999999999</v>
      </c>
      <c r="I104" s="223">
        <f t="shared" si="159"/>
        <v>2.3760000000000003</v>
      </c>
      <c r="J104" s="559">
        <f t="shared" si="96"/>
        <v>12</v>
      </c>
      <c r="K104" s="454">
        <f t="shared" si="97"/>
        <v>24.25</v>
      </c>
      <c r="L104" s="454">
        <f t="shared" si="98"/>
        <v>36.25</v>
      </c>
      <c r="M104" s="454"/>
      <c r="N104" s="223">
        <f t="shared" si="99"/>
        <v>0.66896551724137931</v>
      </c>
      <c r="O104" s="178">
        <f t="shared" si="166"/>
        <v>2.8961428571428565</v>
      </c>
      <c r="P104" s="178">
        <f t="shared" si="100"/>
        <v>5.0263636363636364</v>
      </c>
      <c r="Q104" s="223">
        <f t="shared" si="101"/>
        <v>0.12067261904761901</v>
      </c>
      <c r="R104" s="223">
        <f t="shared" si="102"/>
        <v>0.24134523809523803</v>
      </c>
      <c r="S104" s="454">
        <f t="shared" si="103"/>
        <v>24</v>
      </c>
      <c r="T104" s="223">
        <f t="shared" si="104"/>
        <v>1.3085404232230062</v>
      </c>
      <c r="U104" s="223">
        <f t="shared" si="105"/>
        <v>5.1251166576234413</v>
      </c>
      <c r="V104" s="223">
        <f t="shared" si="106"/>
        <v>2.5361402017105683</v>
      </c>
      <c r="W104" s="203">
        <f t="shared" si="107"/>
        <v>350</v>
      </c>
      <c r="X104" s="454">
        <f t="shared" si="144"/>
        <v>130.52688590928273</v>
      </c>
      <c r="Z104" s="223">
        <f t="shared" si="108"/>
        <v>0.48799916151346817</v>
      </c>
      <c r="AA104" s="179">
        <f t="shared" si="109"/>
        <v>0.94581280788177335</v>
      </c>
      <c r="AB104" s="179">
        <f t="shared" si="160"/>
        <v>8.077227500912576E-2</v>
      </c>
      <c r="AC104" s="179"/>
      <c r="AD104" s="179">
        <f t="shared" si="111"/>
        <v>0.56206185567010303</v>
      </c>
      <c r="AE104" s="563">
        <f t="shared" si="161"/>
        <v>1336.2132213423738</v>
      </c>
      <c r="AF104" s="546">
        <f t="shared" si="113"/>
        <v>2.8524639175257726E-2</v>
      </c>
      <c r="AH104" s="179">
        <f t="shared" si="114"/>
        <v>0.77886988507217336</v>
      </c>
      <c r="AI104" s="179">
        <f t="shared" si="162"/>
        <v>1.3085404232230062</v>
      </c>
      <c r="AJ104" s="179">
        <f t="shared" si="163"/>
        <v>1.9544743875725972</v>
      </c>
      <c r="AL104" s="563">
        <f t="shared" si="117"/>
        <v>108.89999999999999</v>
      </c>
      <c r="AM104" s="472">
        <f t="shared" si="118"/>
        <v>130.52688590928273</v>
      </c>
      <c r="AO104">
        <f t="shared" si="145"/>
        <v>108.89999999999999</v>
      </c>
      <c r="AP104">
        <f t="shared" si="119"/>
        <v>130.52688590928273</v>
      </c>
      <c r="AR104" s="6">
        <f t="shared" si="146"/>
        <v>7.66125685933401</v>
      </c>
      <c r="AS104" s="6">
        <f t="shared" si="120"/>
        <v>5.1251166576234413</v>
      </c>
      <c r="AT104" s="6">
        <f t="shared" si="147"/>
        <v>2.5361402017105688</v>
      </c>
      <c r="AU104" s="179">
        <f t="shared" si="148"/>
        <v>0.66896551724137931</v>
      </c>
      <c r="AW104" s="6">
        <f t="shared" si="121"/>
        <v>2.3255216833966363</v>
      </c>
      <c r="AX104" s="6">
        <f t="shared" si="122"/>
        <v>8.4564424850786786</v>
      </c>
      <c r="AY104" s="6">
        <f t="shared" si="123"/>
        <v>0.96907251917993287</v>
      </c>
      <c r="AZ104" s="6"/>
      <c r="BA104" s="179">
        <f t="shared" si="149"/>
        <v>0.61791449358851835</v>
      </c>
      <c r="BB104" s="179">
        <f t="shared" si="124"/>
        <v>0.43467346941828217</v>
      </c>
      <c r="BC104" s="179">
        <f t="shared" si="125"/>
        <v>0.78225095609598105</v>
      </c>
      <c r="BD104" s="179"/>
      <c r="BE104" s="546">
        <f t="shared" si="126"/>
        <v>0.13363641248536426</v>
      </c>
      <c r="BF104" s="546">
        <f t="shared" si="127"/>
        <v>4.643617021276595E-2</v>
      </c>
      <c r="BG104" s="546">
        <f t="shared" si="128"/>
        <v>1.6315860738660339E-3</v>
      </c>
      <c r="BH104" s="546">
        <f t="shared" si="129"/>
        <v>8.5760243007583434E-3</v>
      </c>
      <c r="BI104">
        <f t="shared" si="130"/>
        <v>3.48E-3</v>
      </c>
      <c r="BJ104">
        <f t="shared" si="164"/>
        <v>0.20316788544724521</v>
      </c>
      <c r="BK104" s="472">
        <f t="shared" si="150"/>
        <v>203.1678854472452</v>
      </c>
      <c r="BL104" s="179">
        <f t="shared" si="132"/>
        <v>3.2669999999999998E-2</v>
      </c>
      <c r="BM104" s="179">
        <f t="shared" si="133"/>
        <v>5.9400000000000001E-2</v>
      </c>
      <c r="BN104" s="546"/>
      <c r="BP104" s="472">
        <f t="shared" si="151"/>
        <v>92.07</v>
      </c>
      <c r="BQ104" s="546">
        <f t="shared" si="134"/>
        <v>7.6363664277351029E-2</v>
      </c>
      <c r="BR104" s="546">
        <f t="shared" si="135"/>
        <v>3.7788205003225259E-2</v>
      </c>
      <c r="BS104" s="546">
        <f t="shared" si="136"/>
        <v>6.1191655831307645E-2</v>
      </c>
      <c r="BT104" s="546">
        <f t="shared" si="137"/>
        <v>1.9062848865117592E-2</v>
      </c>
      <c r="BU104" s="546">
        <f t="shared" si="165"/>
        <v>0.19717220351446588</v>
      </c>
      <c r="BV104" s="656">
        <f t="shared" si="139"/>
        <v>4.1347189249720057E-2</v>
      </c>
      <c r="BW104" s="472">
        <f t="shared" si="152"/>
        <v>238.51939276418594</v>
      </c>
      <c r="BX104" s="179">
        <f t="shared" si="153"/>
        <v>0.53375727821143115</v>
      </c>
      <c r="BY104" s="6">
        <f t="shared" si="154"/>
        <v>4.9896000000000003</v>
      </c>
      <c r="BZ104" s="179">
        <f t="shared" si="155"/>
        <v>0.90336361540163268</v>
      </c>
      <c r="CA104" s="6">
        <f t="shared" si="156"/>
        <v>90.336361540163267</v>
      </c>
      <c r="CB104">
        <f t="shared" si="157"/>
        <v>99</v>
      </c>
      <c r="CD104" s="581">
        <f t="shared" si="140"/>
        <v>-50</v>
      </c>
      <c r="CE104">
        <f t="shared" si="141"/>
        <v>-50</v>
      </c>
    </row>
    <row r="105" spans="5:83" x14ac:dyDescent="0.2">
      <c r="E105" s="176">
        <v>100</v>
      </c>
      <c r="F105" s="223">
        <f t="shared" si="167"/>
        <v>0.11</v>
      </c>
      <c r="G105" s="223">
        <f t="shared" si="142"/>
        <v>0.2</v>
      </c>
      <c r="H105" s="223">
        <f t="shared" si="95"/>
        <v>2.64</v>
      </c>
      <c r="I105" s="223">
        <f t="shared" si="159"/>
        <v>2.4000000000000004</v>
      </c>
      <c r="J105" s="559">
        <f t="shared" si="96"/>
        <v>12</v>
      </c>
      <c r="K105" s="454">
        <f t="shared" si="97"/>
        <v>24.25</v>
      </c>
      <c r="L105" s="454">
        <f t="shared" si="98"/>
        <v>36.25</v>
      </c>
      <c r="M105" s="454"/>
      <c r="N105" s="223">
        <f t="shared" si="99"/>
        <v>0.66896551724137931</v>
      </c>
      <c r="O105" s="178">
        <f t="shared" si="166"/>
        <v>2.8961428571428565</v>
      </c>
      <c r="P105" s="178">
        <f t="shared" si="100"/>
        <v>5.0263636363636364</v>
      </c>
      <c r="Q105" s="223">
        <f t="shared" si="101"/>
        <v>0.12067261904761901</v>
      </c>
      <c r="R105" s="223">
        <f t="shared" si="102"/>
        <v>0.24134523809523803</v>
      </c>
      <c r="S105" s="454">
        <f t="shared" si="103"/>
        <v>24</v>
      </c>
      <c r="T105" s="223">
        <f t="shared" si="104"/>
        <v>1.321758003255562</v>
      </c>
      <c r="U105" s="223">
        <f t="shared" si="105"/>
        <v>5.1768855127509505</v>
      </c>
      <c r="V105" s="223">
        <f t="shared" si="106"/>
        <v>2.5617577795056254</v>
      </c>
      <c r="W105" s="203">
        <f t="shared" si="107"/>
        <v>350</v>
      </c>
      <c r="X105" s="454">
        <f t="shared" si="144"/>
        <v>129.22161705018988</v>
      </c>
      <c r="Z105" s="223">
        <f t="shared" si="108"/>
        <v>0.48799916151346817</v>
      </c>
      <c r="AA105" s="179">
        <f t="shared" si="109"/>
        <v>0.94581280788177335</v>
      </c>
      <c r="AB105" s="179">
        <f t="shared" si="160"/>
        <v>8.077227500912576E-2</v>
      </c>
      <c r="AC105" s="179"/>
      <c r="AD105" s="179">
        <f t="shared" si="111"/>
        <v>0.56206185567010303</v>
      </c>
      <c r="AE105" s="563">
        <f t="shared" si="161"/>
        <v>1349.7103245882565</v>
      </c>
      <c r="AF105" s="546">
        <f t="shared" si="113"/>
        <v>2.8524639175257726E-2</v>
      </c>
      <c r="AH105" s="179">
        <f t="shared" si="114"/>
        <v>0.78279368766413071</v>
      </c>
      <c r="AI105" s="179">
        <f t="shared" si="162"/>
        <v>1.321758003255562</v>
      </c>
      <c r="AJ105" s="179">
        <f t="shared" si="163"/>
        <v>1.9642651875967125</v>
      </c>
      <c r="AL105" s="563">
        <f t="shared" si="117"/>
        <v>110</v>
      </c>
      <c r="AM105" s="472">
        <f t="shared" si="118"/>
        <v>129.22161705018988</v>
      </c>
      <c r="AO105">
        <f t="shared" si="145"/>
        <v>110</v>
      </c>
      <c r="AP105" s="4">
        <f t="shared" si="119"/>
        <v>129.22161705018988</v>
      </c>
      <c r="AR105" s="6">
        <f t="shared" si="146"/>
        <v>7.7386432922565769</v>
      </c>
      <c r="AS105" s="6">
        <f t="shared" si="120"/>
        <v>5.1768855127509505</v>
      </c>
      <c r="AT105" s="6">
        <f t="shared" si="147"/>
        <v>2.5617577795056263</v>
      </c>
      <c r="AU105" s="179">
        <f t="shared" si="148"/>
        <v>0.6689655172413792</v>
      </c>
      <c r="AW105" s="6">
        <f t="shared" si="121"/>
        <v>2.3727391933441857</v>
      </c>
      <c r="AX105" s="6">
        <f t="shared" si="122"/>
        <v>8.6281425212515845</v>
      </c>
      <c r="AY105" s="6">
        <f t="shared" si="123"/>
        <v>0.98874861665129432</v>
      </c>
      <c r="AZ105" s="6"/>
      <c r="BA105" s="179">
        <f t="shared" si="149"/>
        <v>0.62415605412981656</v>
      </c>
      <c r="BB105" s="179">
        <f t="shared" si="124"/>
        <v>0.43906411052351746</v>
      </c>
      <c r="BC105" s="179">
        <f t="shared" si="125"/>
        <v>0.79015248090503154</v>
      </c>
      <c r="BD105" s="179"/>
      <c r="BE105" s="546">
        <f t="shared" si="126"/>
        <v>0.13634977296741585</v>
      </c>
      <c r="BF105" s="546">
        <f t="shared" si="127"/>
        <v>4.643617021276595E-2</v>
      </c>
      <c r="BG105" s="546">
        <f t="shared" si="128"/>
        <v>1.6152702131273734E-3</v>
      </c>
      <c r="BH105" s="546">
        <f t="shared" si="129"/>
        <v>8.4902640577507581E-3</v>
      </c>
      <c r="BI105">
        <f t="shared" si="130"/>
        <v>3.48E-3</v>
      </c>
      <c r="BJ105">
        <f t="shared" si="164"/>
        <v>0.20610914444650491</v>
      </c>
      <c r="BK105" s="472">
        <f t="shared" si="150"/>
        <v>206.1091444465049</v>
      </c>
      <c r="BL105" s="179">
        <f t="shared" si="132"/>
        <v>3.3000000000000002E-2</v>
      </c>
      <c r="BM105" s="179">
        <f t="shared" si="133"/>
        <v>0.06</v>
      </c>
      <c r="BN105" s="546"/>
      <c r="BP105" s="472">
        <f t="shared" si="151"/>
        <v>93</v>
      </c>
      <c r="BQ105" s="546">
        <f t="shared" si="134"/>
        <v>7.7914155981380503E-2</v>
      </c>
      <c r="BR105" s="546">
        <f t="shared" si="135"/>
        <v>3.8555458629961514E-2</v>
      </c>
      <c r="BS105" s="546">
        <f t="shared" si="136"/>
        <v>6.2434094308037626E-2</v>
      </c>
      <c r="BT105" s="546">
        <f t="shared" si="137"/>
        <v>1.9062848865117561E-2</v>
      </c>
      <c r="BU105" s="546">
        <f t="shared" si="165"/>
        <v>0.2008410545494716</v>
      </c>
      <c r="BV105" s="656">
        <f t="shared" si="139"/>
        <v>4.1764837625979857E-2</v>
      </c>
      <c r="BW105" s="472">
        <f t="shared" si="152"/>
        <v>242.60589217545146</v>
      </c>
      <c r="BX105" s="179">
        <f t="shared" si="153"/>
        <v>0.54171503662195641</v>
      </c>
      <c r="BY105" s="6">
        <f t="shared" si="154"/>
        <v>5.0400000000000009</v>
      </c>
      <c r="BZ105" s="179">
        <f t="shared" si="155"/>
        <v>0.90294828147482764</v>
      </c>
      <c r="CA105" s="6">
        <f t="shared" si="156"/>
        <v>90.294828147482761</v>
      </c>
      <c r="CB105">
        <f t="shared" si="157"/>
        <v>100</v>
      </c>
      <c r="CD105" s="581">
        <f t="shared" si="140"/>
        <v>-50</v>
      </c>
      <c r="CE105">
        <f t="shared" si="141"/>
        <v>-50</v>
      </c>
    </row>
    <row r="106" spans="5:83" x14ac:dyDescent="0.2">
      <c r="E106" s="176"/>
      <c r="F106" s="223"/>
      <c r="G106" s="223"/>
      <c r="H106" s="223"/>
      <c r="I106" s="223"/>
      <c r="J106" s="559"/>
      <c r="K106" s="454"/>
      <c r="L106" s="454"/>
      <c r="M106" s="454"/>
      <c r="N106" s="223"/>
      <c r="O106" s="178"/>
      <c r="P106" s="178"/>
      <c r="Q106" s="223"/>
      <c r="R106" s="223"/>
      <c r="S106" s="223"/>
      <c r="T106" s="223"/>
      <c r="U106" s="223"/>
      <c r="V106" s="223"/>
      <c r="W106" s="203"/>
      <c r="X106" s="454"/>
      <c r="Z106" s="223"/>
      <c r="AA106" s="179"/>
      <c r="AB106" s="179"/>
      <c r="AC106" s="179"/>
      <c r="AD106" s="179"/>
      <c r="AE106" s="563"/>
      <c r="AF106" s="546"/>
      <c r="AH106" s="179"/>
      <c r="AI106" s="179"/>
      <c r="AJ106" s="179"/>
      <c r="AL106" s="563"/>
      <c r="AM106" s="472"/>
      <c r="AP106" s="4"/>
      <c r="AR106" s="6"/>
      <c r="AS106" s="6"/>
      <c r="AT106" s="6"/>
      <c r="AU106" s="179"/>
      <c r="AW106" s="6"/>
      <c r="AX106" s="6"/>
      <c r="AY106" s="6"/>
      <c r="AZ106" s="6"/>
      <c r="BA106" s="179"/>
      <c r="BB106" s="179"/>
      <c r="BC106" s="179"/>
      <c r="BD106" s="179"/>
      <c r="BE106" s="546"/>
      <c r="BF106" s="546"/>
      <c r="BG106" s="546"/>
      <c r="BH106" s="546"/>
      <c r="BK106" s="472"/>
      <c r="BL106" s="179"/>
      <c r="BM106" s="179"/>
      <c r="BN106" s="546"/>
      <c r="BP106" s="472"/>
      <c r="BQ106" s="546"/>
      <c r="BR106" s="546"/>
      <c r="BS106" s="546"/>
      <c r="BT106" s="546"/>
      <c r="BU106" s="546"/>
      <c r="BV106" s="656"/>
      <c r="BW106" s="472"/>
      <c r="BX106" s="179"/>
      <c r="BY106" s="6"/>
      <c r="BZ106" s="179"/>
      <c r="CA106" s="6"/>
    </row>
    <row r="107" spans="5:83" x14ac:dyDescent="0.2">
      <c r="G107" s="223"/>
      <c r="H107" s="223"/>
      <c r="I107" s="223"/>
      <c r="J107" s="559"/>
      <c r="K107" s="454"/>
      <c r="L107" s="454"/>
      <c r="M107" s="454"/>
      <c r="N107" s="223"/>
      <c r="O107" s="178"/>
      <c r="P107" s="178"/>
      <c r="Q107" s="223"/>
      <c r="R107" s="223"/>
      <c r="S107" s="223"/>
      <c r="T107" s="223"/>
      <c r="U107" s="223"/>
      <c r="V107" s="223"/>
      <c r="W107" s="203"/>
      <c r="X107" s="454"/>
      <c r="Z107" s="223"/>
      <c r="AA107" s="179"/>
      <c r="AB107" s="179"/>
      <c r="AC107" s="179"/>
      <c r="AD107" s="179"/>
      <c r="AE107" s="563"/>
      <c r="AF107" s="546"/>
      <c r="AH107" s="179"/>
      <c r="AI107" s="179"/>
      <c r="AJ107" s="179"/>
      <c r="AL107" s="563"/>
      <c r="AM107" s="472"/>
      <c r="AR107" s="6"/>
      <c r="AS107" s="6"/>
      <c r="AT107" s="6"/>
      <c r="AU107" s="179"/>
      <c r="AW107" s="6"/>
      <c r="AX107" s="6"/>
      <c r="AY107" s="6"/>
      <c r="AZ107" s="6"/>
      <c r="BA107" s="179"/>
      <c r="BB107" s="179"/>
      <c r="BC107" s="179"/>
      <c r="BD107" s="179"/>
      <c r="BE107" s="546"/>
      <c r="BF107" s="546"/>
      <c r="BG107" s="546"/>
      <c r="BH107" s="546"/>
      <c r="BK107" s="472"/>
      <c r="BL107" s="179"/>
      <c r="BM107" s="179"/>
      <c r="BN107" s="546"/>
      <c r="BP107" s="472"/>
      <c r="BQ107" s="546"/>
      <c r="BR107" s="546"/>
      <c r="BS107" s="546"/>
      <c r="BT107" s="546"/>
      <c r="BU107" s="546"/>
      <c r="BV107" s="656"/>
      <c r="BW107" s="472"/>
      <c r="BX107" s="179"/>
      <c r="BY107" s="6"/>
      <c r="BZ107" s="179"/>
      <c r="CA107" s="6"/>
    </row>
    <row r="108" spans="5:83" x14ac:dyDescent="0.2">
      <c r="E108" s="456" t="s">
        <v>445</v>
      </c>
      <c r="G108" s="223"/>
      <c r="H108" s="223"/>
      <c r="I108" s="223"/>
      <c r="J108" s="559"/>
      <c r="K108" s="454"/>
      <c r="L108" s="454"/>
      <c r="M108" s="454"/>
      <c r="N108" s="223"/>
      <c r="O108" s="178"/>
      <c r="P108" s="178"/>
      <c r="Q108" s="223"/>
      <c r="R108" s="223"/>
      <c r="S108" s="223"/>
      <c r="T108" s="223"/>
      <c r="U108" s="223"/>
      <c r="V108" s="223"/>
      <c r="W108" s="203"/>
      <c r="X108" s="454"/>
      <c r="Z108" s="223"/>
      <c r="AA108" s="179"/>
      <c r="AB108" s="179"/>
      <c r="AC108" s="179"/>
      <c r="AD108" s="179"/>
      <c r="AE108" s="563"/>
      <c r="AF108" s="546"/>
      <c r="AH108" s="179"/>
      <c r="AI108" s="179"/>
      <c r="AJ108" s="179"/>
      <c r="AL108" s="563"/>
      <c r="AM108" s="472"/>
      <c r="AR108" s="6"/>
      <c r="AS108" s="6"/>
      <c r="AT108" s="6"/>
      <c r="AU108" s="179"/>
      <c r="AW108" s="551" t="s">
        <v>481</v>
      </c>
      <c r="AX108" s="551" t="s">
        <v>481</v>
      </c>
      <c r="AY108" s="551"/>
      <c r="AZ108" s="551"/>
      <c r="BA108" s="577" t="s">
        <v>482</v>
      </c>
      <c r="BB108" s="551"/>
      <c r="BC108" s="551"/>
      <c r="BD108" s="551"/>
      <c r="BE108" s="577" t="s">
        <v>506</v>
      </c>
      <c r="BF108" s="551"/>
      <c r="BG108" s="551"/>
      <c r="BH108" s="551"/>
      <c r="BI108" s="551"/>
      <c r="BJ108" s="551"/>
      <c r="BK108" s="551"/>
      <c r="BL108" s="577" t="s">
        <v>502</v>
      </c>
      <c r="BM108" s="551"/>
      <c r="BN108" s="551"/>
      <c r="BO108" s="551"/>
      <c r="BP108" s="551"/>
      <c r="BQ108" s="578" t="s">
        <v>503</v>
      </c>
      <c r="BR108" s="551"/>
      <c r="BS108" s="551"/>
      <c r="BT108" s="551"/>
      <c r="BU108" s="551"/>
      <c r="BV108" s="551"/>
      <c r="BW108" s="551"/>
      <c r="BX108" s="577"/>
      <c r="BY108" s="551"/>
      <c r="BZ108" s="551"/>
      <c r="CA108" s="551"/>
      <c r="CB108" s="551"/>
    </row>
    <row r="109" spans="5:83" ht="45" customHeight="1" thickBot="1" x14ac:dyDescent="0.25">
      <c r="E109" s="247" t="s">
        <v>25</v>
      </c>
      <c r="F109" s="625" t="s">
        <v>599</v>
      </c>
      <c r="G109" s="455" t="s">
        <v>598</v>
      </c>
      <c r="H109" s="626" t="s">
        <v>600</v>
      </c>
      <c r="I109" s="627" t="s">
        <v>601</v>
      </c>
      <c r="J109" s="248" t="s">
        <v>423</v>
      </c>
      <c r="K109" s="249" t="s">
        <v>429</v>
      </c>
      <c r="L109" s="545" t="s">
        <v>424</v>
      </c>
      <c r="M109" s="545"/>
      <c r="N109" s="250" t="s">
        <v>48</v>
      </c>
      <c r="O109" s="629" t="s">
        <v>609</v>
      </c>
      <c r="P109" s="629" t="s">
        <v>625</v>
      </c>
      <c r="Q109" s="545" t="s">
        <v>414</v>
      </c>
      <c r="R109" s="629" t="s">
        <v>603</v>
      </c>
      <c r="S109" s="545" t="s">
        <v>444</v>
      </c>
      <c r="T109" s="629" t="s">
        <v>425</v>
      </c>
      <c r="U109" s="545" t="s">
        <v>477</v>
      </c>
      <c r="V109" s="545" t="s">
        <v>476</v>
      </c>
      <c r="W109" s="565" t="s">
        <v>431</v>
      </c>
      <c r="X109" s="560" t="s">
        <v>436</v>
      </c>
      <c r="Z109" s="251" t="s">
        <v>428</v>
      </c>
      <c r="AA109" s="251" t="s">
        <v>475</v>
      </c>
      <c r="AB109" s="251" t="s">
        <v>606</v>
      </c>
      <c r="AC109" s="562"/>
      <c r="AD109" s="251" t="s">
        <v>474</v>
      </c>
      <c r="AE109" s="630" t="s">
        <v>437</v>
      </c>
      <c r="AF109" s="251" t="s">
        <v>607</v>
      </c>
      <c r="AG109" s="562"/>
      <c r="AH109" s="179"/>
      <c r="AI109" s="566" t="s">
        <v>441</v>
      </c>
      <c r="AJ109" s="566" t="s">
        <v>442</v>
      </c>
      <c r="AL109" s="561" t="s">
        <v>276</v>
      </c>
      <c r="AM109" s="561" t="s">
        <v>443</v>
      </c>
      <c r="AO109" s="251" t="s">
        <v>276</v>
      </c>
      <c r="AP109" s="251" t="s">
        <v>443</v>
      </c>
      <c r="AQ109" s="567"/>
      <c r="AR109" s="251" t="s">
        <v>478</v>
      </c>
      <c r="AS109" s="251" t="s">
        <v>472</v>
      </c>
      <c r="AT109" s="251" t="s">
        <v>473</v>
      </c>
      <c r="AU109" s="251" t="s">
        <v>48</v>
      </c>
      <c r="AV109" s="562"/>
      <c r="AW109" s="251" t="s">
        <v>610</v>
      </c>
      <c r="AX109" s="251" t="s">
        <v>611</v>
      </c>
      <c r="AY109" s="251" t="s">
        <v>529</v>
      </c>
      <c r="AZ109" s="562"/>
      <c r="BA109" s="576" t="s">
        <v>467</v>
      </c>
      <c r="BB109" s="251" t="s">
        <v>618</v>
      </c>
      <c r="BC109" s="251" t="s">
        <v>617</v>
      </c>
      <c r="BD109" s="562"/>
      <c r="BE109" s="576" t="s">
        <v>485</v>
      </c>
      <c r="BF109" s="251" t="s">
        <v>486</v>
      </c>
      <c r="BG109" s="251" t="s">
        <v>484</v>
      </c>
      <c r="BH109" s="251" t="s">
        <v>480</v>
      </c>
      <c r="BI109" s="251" t="s">
        <v>489</v>
      </c>
      <c r="BJ109" s="251"/>
      <c r="BK109" s="251" t="s">
        <v>504</v>
      </c>
      <c r="BL109" s="576" t="s">
        <v>620</v>
      </c>
      <c r="BM109" s="251" t="s">
        <v>619</v>
      </c>
      <c r="BN109" s="251" t="s">
        <v>488</v>
      </c>
      <c r="BO109" s="251" t="s">
        <v>496</v>
      </c>
      <c r="BP109" s="251" t="s">
        <v>500</v>
      </c>
      <c r="BQ109" s="576" t="s">
        <v>469</v>
      </c>
      <c r="BR109" s="251" t="s">
        <v>622</v>
      </c>
      <c r="BS109" s="251" t="s">
        <v>621</v>
      </c>
      <c r="BT109" s="251" t="s">
        <v>479</v>
      </c>
      <c r="BU109" s="251"/>
      <c r="BV109" s="251" t="s">
        <v>497</v>
      </c>
      <c r="BW109" s="251" t="s">
        <v>499</v>
      </c>
      <c r="BX109" s="576" t="s">
        <v>495</v>
      </c>
      <c r="BY109" s="251" t="s">
        <v>224</v>
      </c>
      <c r="BZ109" s="251" t="s">
        <v>47</v>
      </c>
      <c r="CA109" s="251" t="s">
        <v>498</v>
      </c>
      <c r="CB109" s="251" t="s">
        <v>623</v>
      </c>
      <c r="CD109" s="589" t="s">
        <v>511</v>
      </c>
    </row>
    <row r="110" spans="5:83" x14ac:dyDescent="0.2">
      <c r="E110" s="176">
        <v>0.1</v>
      </c>
      <c r="F110" s="223">
        <v>1.0000000000000001E-9</v>
      </c>
      <c r="G110" s="223">
        <f t="shared" ref="G110:G141" si="168">IF(PLOT_TYPE=1, E110/100*Iout2, min_I*EXP(Q110*rr/100))</f>
        <v>2.0000000000000001E-4</v>
      </c>
      <c r="H110" s="223">
        <f t="shared" ref="H110:H141" si="169">F110*Vout</f>
        <v>2.4000000000000003E-8</v>
      </c>
      <c r="I110" s="223">
        <f t="shared" ref="I110:I141" si="170">Vout2*G110</f>
        <v>2.4000000000000002E-3</v>
      </c>
      <c r="J110" s="559">
        <f t="shared" ref="J110:J173" si="171">VIN_min</f>
        <v>10</v>
      </c>
      <c r="K110" s="454">
        <f t="shared" ref="K110:K173" si="172">(S110+Vfwd1)*Nps</f>
        <v>24.25</v>
      </c>
      <c r="L110" s="454">
        <f t="shared" ref="L110:L173" si="173">(Vout+Vfwd1)*Nps+J110</f>
        <v>34.25</v>
      </c>
      <c r="M110" s="454"/>
      <c r="N110" s="223">
        <f t="shared" ref="N110:N173" si="174">(Vout+Vfwd1)*Nps/((Vout+Vfwd1)*Nps+J110)</f>
        <v>0.70802919708029199</v>
      </c>
      <c r="O110" s="178">
        <f t="shared" ref="O110:O141" si="175">N110*J110*Isw_max*0.5*Efficiency*Pout/(Pout+Pout2)</f>
        <v>2.5543839068474097</v>
      </c>
      <c r="P110" s="178">
        <f t="shared" ref="P110:P141" si="176">N110*J110*Isw_max*0.5*Efficiency*(Pout2/Pout_total)</f>
        <v>4.4332282680822832</v>
      </c>
      <c r="Q110" s="223">
        <f t="shared" ref="Q110:Q173" si="177">O110/Vout</f>
        <v>0.10643266278530873</v>
      </c>
      <c r="R110" s="223">
        <f t="shared" ref="R110:R141" si="178">O110/Vout2</f>
        <v>0.21286532557061746</v>
      </c>
      <c r="S110" s="223">
        <f t="shared" ref="S110:S141" si="179">MIN(Vout,O110/F110)</f>
        <v>24</v>
      </c>
      <c r="T110" s="223">
        <f t="shared" ref="T110:T141" si="180">MIN(2*(Vout*F110+Vout2*G110)/(Efficiency*J110*N110), Isw_max)</f>
        <v>7.1362623548562132E-4</v>
      </c>
      <c r="U110" s="223">
        <f t="shared" ref="U110:U173" si="181">L*T110/J110*1000000</f>
        <v>3.3540433067824203E-3</v>
      </c>
      <c r="V110" s="223">
        <f t="shared" ref="V110:V173" si="182">L*T110/K110*1000000</f>
        <v>1.383110641972132E-3</v>
      </c>
      <c r="W110" s="203">
        <f t="shared" ref="W110:W173" si="183">IF(1/((350000*L)*(1/J110+1/K110))&gt;Isw_min, 350, 0.001/((Isw_min*L)*(1/J110+1/K110)))</f>
        <v>350</v>
      </c>
      <c r="X110" s="454">
        <f t="shared" ref="X110:X173" si="184">MIN(1/(U110+V110)*1000, 350)</f>
        <v>350</v>
      </c>
      <c r="Z110" s="223">
        <f t="shared" ref="Z110:Z173" si="185">1/((W110*1000*L)*(1/J110+1/K110))</f>
        <v>0.43041288576309544</v>
      </c>
      <c r="AA110" s="179">
        <f t="shared" ref="AA110:AA173" si="186">L*Z110/K110*1000000</f>
        <v>0.83420229405630864</v>
      </c>
      <c r="AB110" s="179">
        <f t="shared" ref="AB110:AB141" si="187">0.5*AA110*Z110*Nps*W110/1000*(Pout/(Pout+Pout2))</f>
        <v>3.2913046530372254E-2</v>
      </c>
      <c r="AC110" s="179"/>
      <c r="AD110" s="179">
        <f t="shared" ref="AD110:AD173" si="188">L*Isw_min/K110*1000000</f>
        <v>0.56206185567010303</v>
      </c>
      <c r="AE110" s="563">
        <f t="shared" ref="AE110:AE141" si="189">MAX(10, F110/(0.5*AD110/1000000*Isw_min*Nps)/1000*Pout_total/Pout)</f>
        <v>10</v>
      </c>
      <c r="AF110" s="546">
        <f t="shared" ref="AF110:AF141" si="190">0.5*AD110/1000000*Isw_min*Nps*W110*1000*(Pout/Pout_total)</f>
        <v>2.8524639175257726E-2</v>
      </c>
      <c r="AH110" s="179">
        <f t="shared" ref="AH110:AH141" si="191">SQRT((H110+I110)/(0.5*L*Fsw_DCM))</f>
        <v>1.708204411079188E-2</v>
      </c>
      <c r="AI110" s="179">
        <f t="shared" ref="AI110:AI141" si="192">MAX(IF(F110&gt;AB110,T110,AH110),Isw_min)</f>
        <v>0.28999999999999998</v>
      </c>
      <c r="AJ110" s="179">
        <f t="shared" ref="AJ110:AJ141" si="193">IF(F110&gt;AF110, (AI110-Isw_min)/1.08*0.8+1.2, AE110*0.2/350+1)</f>
        <v>1.0057142857142858</v>
      </c>
      <c r="AL110" s="563">
        <f t="shared" ref="AL110:AL141" si="194">F110*1000</f>
        <v>1.0000000000000002E-6</v>
      </c>
      <c r="AM110" s="472">
        <f t="shared" ref="AM110:AM141" si="195">IF(F110&gt;AF110, X110, AE110)</f>
        <v>10</v>
      </c>
      <c r="AO110" s="472">
        <f t="shared" ref="AO110:AO173" si="196">IF(H110&gt;O110, "",AL110)</f>
        <v>1.0000000000000002E-6</v>
      </c>
      <c r="AP110" s="472">
        <f t="shared" ref="AP110:AP173" si="197">IF(H110&gt;O110, "",AM110)</f>
        <v>10</v>
      </c>
      <c r="AR110" s="6">
        <f t="shared" si="146"/>
        <v>100</v>
      </c>
      <c r="AS110" s="6">
        <f t="shared" ref="AS110:AS114" si="198">L*AI110/J110*1000000</f>
        <v>1.363</v>
      </c>
      <c r="AT110" s="6">
        <f t="shared" ref="AT110:AT114" si="199">AR110-AS110</f>
        <v>98.637</v>
      </c>
      <c r="AU110" s="179">
        <f t="shared" ref="AU110:AU114" si="200">AS110/AR110</f>
        <v>1.363E-2</v>
      </c>
      <c r="AW110" s="6">
        <f t="shared" ref="AW110:AW169" si="201">F110*AS110/Vout_ripple*1000</f>
        <v>5.6791666666666671E-9</v>
      </c>
      <c r="AX110" s="6">
        <f t="shared" ref="AX110:AX169" si="202">G110*AS110/Vout_ripple2*1000</f>
        <v>2.2716666666666666E-3</v>
      </c>
      <c r="AY110" s="6">
        <f t="shared" ref="AY110:AY169" si="203">H110/Efficiency/J110*AT110/Vinripple1</f>
        <v>4.1531368421052633E-7</v>
      </c>
      <c r="AZ110" s="6"/>
      <c r="BA110" s="179">
        <f t="shared" ref="BA110:BA169" si="204">AI110*SQRT(AU110/3)</f>
        <v>1.9547233393330456E-2</v>
      </c>
      <c r="BB110" s="179">
        <f t="shared" ref="BB110:BB169" si="205">AI110*Npri_sec1*SQRT((1-AU110)/3)*(Pout/Pout_total)</f>
        <v>0.16628661702013184</v>
      </c>
      <c r="BC110" s="179">
        <f t="shared" ref="BC110:BC169" si="206">AI110*Npri_sec2*SQRT((1-AU110)/3)*(Pout2/Pout_total)</f>
        <v>0.29925420873752856</v>
      </c>
      <c r="BD110" s="179"/>
      <c r="BE110" s="546">
        <f t="shared" ref="BE110:BE169" si="207">Rdson*BA110^2</f>
        <v>1.3373301666666664E-4</v>
      </c>
      <c r="BF110" s="546">
        <f t="shared" ref="BF110:BF169" si="208">0.5*L110*AI110*AM110*1000*Trise</f>
        <v>7.4493749999999983E-4</v>
      </c>
      <c r="BG110" s="546">
        <f t="shared" ref="BG110:BG169" si="209">Qg*Vdd*AM110*1000</f>
        <v>1.25E-4</v>
      </c>
      <c r="BH110" s="546">
        <f t="shared" ref="BH110:BH169" si="210">0.5*(Coss+Csw)*L110^2*AM110*1000</f>
        <v>5.8653125000000003E-4</v>
      </c>
      <c r="BI110">
        <f t="shared" ref="BI110:BI169" si="211">J110*IQ</f>
        <v>2.8999999999999998E-3</v>
      </c>
      <c r="BK110" s="472">
        <f t="shared" ref="BK110:BK169" si="212">SUM(BE110:BI110)*1000</f>
        <v>4.490201766666666</v>
      </c>
      <c r="BL110" s="179">
        <f t="shared" ref="BL110:BL169" si="213">Vfwd2*F110</f>
        <v>3E-10</v>
      </c>
      <c r="BM110" s="179">
        <f t="shared" ref="BM110:BM169" si="214">Vfwd2*G110</f>
        <v>6.0000000000000002E-5</v>
      </c>
      <c r="BN110" s="546"/>
      <c r="BP110" s="472">
        <f t="shared" ref="BP110:BP169" si="215">SUM(BL110:BO110)*1000</f>
        <v>6.0000299999999999E-2</v>
      </c>
      <c r="BQ110" s="546">
        <f t="shared" ref="BQ110:BQ169" si="216">Rdcr_pri*BA110^2</f>
        <v>7.6418866666666668E-5</v>
      </c>
      <c r="BR110" s="546">
        <f t="shared" ref="BR110:BR169" si="217">Rdcr_sec*BB110^2</f>
        <v>5.5302478000000006E-3</v>
      </c>
      <c r="BS110" s="546">
        <f t="shared" ref="BS110:BS169" si="218">Rdcr_sec2*BC110^2</f>
        <v>8.9553081447124316E-3</v>
      </c>
      <c r="BT110" s="546">
        <f t="shared" ref="BT110:BT169" si="219">AI110^2.5*AM110^2.5*k_core</f>
        <v>7.1608569668720578E-7</v>
      </c>
      <c r="BU110" s="546"/>
      <c r="BV110" s="656">
        <f t="shared" ref="BV110:BV141" si="220">0.5*Lleak*0.000000001*AI110^2*AM110*1000</f>
        <v>1.55585E-4</v>
      </c>
      <c r="BW110" s="472">
        <f t="shared" ref="BW110:BW169" si="221">SUM(BQ110:BV110)*1000</f>
        <v>14.718275897075785</v>
      </c>
      <c r="BX110" s="179">
        <f t="shared" ref="BX110:BX169" si="222">SUM(BE110:BI110,BL110:BO110,BQ110:BV110)</f>
        <v>1.926847796374245E-2</v>
      </c>
      <c r="BY110" s="6">
        <f t="shared" ref="BY110:BY169" si="223">MIN(H110+I110,O110+P110)</f>
        <v>2.4000240000000002E-3</v>
      </c>
      <c r="BZ110" s="179">
        <f t="shared" ref="BZ110:BZ169" si="224">BY110/(BY110+BX110)</f>
        <v>0.11076095634187916</v>
      </c>
      <c r="CA110" s="6">
        <f t="shared" ref="CA110:CA169" si="225">BZ110*100</f>
        <v>11.076095634187915</v>
      </c>
      <c r="CB110">
        <f t="shared" ref="CB110:CB169" si="226">F110/Iout*100</f>
        <v>9.0909090909090904E-7</v>
      </c>
      <c r="CD110" s="581">
        <f t="shared" ref="CD110:CD141" si="227">IF(ABS(F110-Ioutmax_Vinmin)&lt;Iout/200, AM110, -50)</f>
        <v>-50</v>
      </c>
      <c r="CE110">
        <f t="shared" ref="CE110:CE141" si="228">IF(ABS(F110-Ioutmax_Vinmin)&lt;Iout/200, (O110+P110)*BZ110, -50)</f>
        <v>-50</v>
      </c>
    </row>
    <row r="111" spans="5:83" x14ac:dyDescent="0.2">
      <c r="E111" s="176">
        <v>1</v>
      </c>
      <c r="F111" s="223">
        <f t="shared" ref="F111:F142" si="229">IF(PLOT_TYPE=1, E111/100*Iout_max, min_I*EXP(O111*rr/100))</f>
        <v>1.1000000000000001E-3</v>
      </c>
      <c r="G111" s="223">
        <f t="shared" si="168"/>
        <v>2E-3</v>
      </c>
      <c r="H111" s="223">
        <f t="shared" si="169"/>
        <v>2.64E-2</v>
      </c>
      <c r="I111" s="223">
        <f t="shared" si="170"/>
        <v>2.4E-2</v>
      </c>
      <c r="J111" s="559">
        <f t="shared" si="171"/>
        <v>10</v>
      </c>
      <c r="K111" s="454">
        <f t="shared" si="172"/>
        <v>24.25</v>
      </c>
      <c r="L111" s="454">
        <f t="shared" si="173"/>
        <v>34.25</v>
      </c>
      <c r="M111" s="454"/>
      <c r="N111" s="223">
        <f t="shared" si="174"/>
        <v>0.70802919708029199</v>
      </c>
      <c r="O111" s="178">
        <f t="shared" si="175"/>
        <v>2.5543839068474097</v>
      </c>
      <c r="P111" s="178">
        <f t="shared" si="176"/>
        <v>4.4332282680822832</v>
      </c>
      <c r="Q111" s="223">
        <f t="shared" si="177"/>
        <v>0.10643266278530873</v>
      </c>
      <c r="R111" s="223">
        <f t="shared" si="178"/>
        <v>0.21286532557061746</v>
      </c>
      <c r="S111" s="223">
        <f t="shared" si="179"/>
        <v>24</v>
      </c>
      <c r="T111" s="223">
        <f t="shared" si="180"/>
        <v>1.4986001085187195E-2</v>
      </c>
      <c r="U111" s="223">
        <f t="shared" si="181"/>
        <v>7.0434205100379815E-2</v>
      </c>
      <c r="V111" s="223">
        <f t="shared" si="182"/>
        <v>2.9045033031084459E-2</v>
      </c>
      <c r="W111" s="203">
        <f t="shared" si="183"/>
        <v>350</v>
      </c>
      <c r="X111" s="454">
        <f t="shared" si="184"/>
        <v>350</v>
      </c>
      <c r="Z111" s="223">
        <f t="shared" si="185"/>
        <v>0.43041288576309544</v>
      </c>
      <c r="AA111" s="179">
        <f t="shared" si="186"/>
        <v>0.83420229405630864</v>
      </c>
      <c r="AB111" s="179">
        <f t="shared" si="187"/>
        <v>3.2913046530372254E-2</v>
      </c>
      <c r="AC111" s="179"/>
      <c r="AD111" s="179">
        <f t="shared" si="188"/>
        <v>0.56206185567010303</v>
      </c>
      <c r="AE111" s="563">
        <f t="shared" si="189"/>
        <v>13.497103245882563</v>
      </c>
      <c r="AF111" s="546">
        <f t="shared" si="190"/>
        <v>2.8524639175257726E-2</v>
      </c>
      <c r="AH111" s="179">
        <f t="shared" si="191"/>
        <v>7.8279368766413074E-2</v>
      </c>
      <c r="AI111" s="179">
        <f t="shared" si="192"/>
        <v>0.28999999999999998</v>
      </c>
      <c r="AJ111" s="179">
        <f t="shared" si="193"/>
        <v>1.0077126304262185</v>
      </c>
      <c r="AL111" s="563">
        <f t="shared" si="194"/>
        <v>1.1000000000000001</v>
      </c>
      <c r="AM111" s="472">
        <f t="shared" si="195"/>
        <v>13.497103245882563</v>
      </c>
      <c r="AO111" s="472">
        <f t="shared" si="196"/>
        <v>1.1000000000000001</v>
      </c>
      <c r="AP111" s="472">
        <f t="shared" si="197"/>
        <v>13.497103245882563</v>
      </c>
      <c r="AR111" s="6">
        <f t="shared" si="146"/>
        <v>74.089971883786319</v>
      </c>
      <c r="AS111" s="6">
        <f t="shared" si="198"/>
        <v>1.363</v>
      </c>
      <c r="AT111" s="6">
        <f t="shared" si="199"/>
        <v>72.726971883786319</v>
      </c>
      <c r="AU111" s="179">
        <f t="shared" si="200"/>
        <v>1.8396551724137931E-2</v>
      </c>
      <c r="AW111" s="6">
        <f t="shared" si="201"/>
        <v>6.2470833333333337E-3</v>
      </c>
      <c r="AX111" s="6">
        <f t="shared" si="202"/>
        <v>2.271666666666667E-2</v>
      </c>
      <c r="AY111" s="6">
        <f t="shared" si="203"/>
        <v>0.33684071188279974</v>
      </c>
      <c r="AZ111" s="6"/>
      <c r="BA111" s="179">
        <f t="shared" si="204"/>
        <v>2.2709395999600399E-2</v>
      </c>
      <c r="BB111" s="179">
        <f t="shared" si="205"/>
        <v>0.16588434726238235</v>
      </c>
      <c r="BC111" s="179">
        <f t="shared" si="206"/>
        <v>0.29853027243879576</v>
      </c>
      <c r="BD111" s="179"/>
      <c r="BE111" s="546">
        <f t="shared" si="207"/>
        <v>1.805008333333333E-4</v>
      </c>
      <c r="BF111" s="546">
        <f t="shared" si="208"/>
        <v>1.0054498349229639E-3</v>
      </c>
      <c r="BG111" s="546">
        <f t="shared" si="209"/>
        <v>1.6871379057353204E-4</v>
      </c>
      <c r="BH111" s="546">
        <f t="shared" si="210"/>
        <v>7.9164728381865568E-4</v>
      </c>
      <c r="BI111">
        <f t="shared" si="211"/>
        <v>2.8999999999999998E-3</v>
      </c>
      <c r="BK111" s="472">
        <f t="shared" si="212"/>
        <v>5.0463117426484851</v>
      </c>
      <c r="BL111" s="179">
        <f t="shared" si="213"/>
        <v>3.3E-4</v>
      </c>
      <c r="BM111" s="179">
        <f t="shared" si="214"/>
        <v>5.9999999999999995E-4</v>
      </c>
      <c r="BN111" s="546"/>
      <c r="BP111" s="472">
        <f t="shared" si="215"/>
        <v>0.92999999999999994</v>
      </c>
      <c r="BQ111" s="546">
        <f t="shared" si="216"/>
        <v>1.0314333333333332E-4</v>
      </c>
      <c r="BR111" s="546">
        <f t="shared" si="217"/>
        <v>5.5035233333333329E-3</v>
      </c>
      <c r="BS111" s="546">
        <f t="shared" si="218"/>
        <v>8.9120323562381625E-3</v>
      </c>
      <c r="BT111" s="546">
        <f t="shared" si="219"/>
        <v>1.5155365831393684E-6</v>
      </c>
      <c r="BU111" s="546"/>
      <c r="BV111" s="656">
        <f t="shared" si="220"/>
        <v>2.0999468085106386E-4</v>
      </c>
      <c r="BW111" s="472">
        <f t="shared" si="221"/>
        <v>14.730209240339033</v>
      </c>
      <c r="BX111" s="179">
        <f t="shared" si="222"/>
        <v>2.0706520982987517E-2</v>
      </c>
      <c r="BY111" s="6">
        <f t="shared" si="223"/>
        <v>5.04E-2</v>
      </c>
      <c r="BZ111" s="179">
        <f t="shared" si="224"/>
        <v>0.70879575182785803</v>
      </c>
      <c r="CA111" s="6">
        <f t="shared" si="225"/>
        <v>70.8795751827858</v>
      </c>
      <c r="CB111">
        <f t="shared" si="226"/>
        <v>1</v>
      </c>
      <c r="CD111" s="581">
        <f t="shared" si="227"/>
        <v>-50</v>
      </c>
      <c r="CE111">
        <f t="shared" si="228"/>
        <v>-50</v>
      </c>
    </row>
    <row r="112" spans="5:83" x14ac:dyDescent="0.2">
      <c r="E112" s="176">
        <v>2</v>
      </c>
      <c r="F112" s="223">
        <f t="shared" si="229"/>
        <v>2.2000000000000001E-3</v>
      </c>
      <c r="G112" s="223">
        <f t="shared" si="168"/>
        <v>4.0000000000000001E-3</v>
      </c>
      <c r="H112" s="223">
        <f t="shared" si="169"/>
        <v>5.28E-2</v>
      </c>
      <c r="I112" s="223">
        <f t="shared" si="170"/>
        <v>4.8000000000000001E-2</v>
      </c>
      <c r="J112" s="559">
        <f t="shared" si="171"/>
        <v>10</v>
      </c>
      <c r="K112" s="454">
        <f t="shared" si="172"/>
        <v>24.25</v>
      </c>
      <c r="L112" s="454">
        <f t="shared" si="173"/>
        <v>34.25</v>
      </c>
      <c r="M112" s="454"/>
      <c r="N112" s="223">
        <f t="shared" si="174"/>
        <v>0.70802919708029199</v>
      </c>
      <c r="O112" s="178">
        <f t="shared" si="175"/>
        <v>2.5543839068474097</v>
      </c>
      <c r="P112" s="178">
        <f t="shared" si="176"/>
        <v>4.4332282680822832</v>
      </c>
      <c r="Q112" s="223">
        <f t="shared" si="177"/>
        <v>0.10643266278530873</v>
      </c>
      <c r="R112" s="223">
        <f t="shared" si="178"/>
        <v>0.21286532557061746</v>
      </c>
      <c r="S112" s="223">
        <f t="shared" si="179"/>
        <v>24</v>
      </c>
      <c r="T112" s="223">
        <f t="shared" si="180"/>
        <v>2.9972002170374389E-2</v>
      </c>
      <c r="U112" s="223">
        <f t="shared" si="181"/>
        <v>0.14086841020075963</v>
      </c>
      <c r="V112" s="223">
        <f t="shared" si="182"/>
        <v>5.8090066062168919E-2</v>
      </c>
      <c r="W112" s="203">
        <f t="shared" si="183"/>
        <v>350</v>
      </c>
      <c r="X112" s="454">
        <f t="shared" si="184"/>
        <v>350</v>
      </c>
      <c r="Z112" s="223">
        <f t="shared" si="185"/>
        <v>0.43041288576309544</v>
      </c>
      <c r="AA112" s="179">
        <f t="shared" si="186"/>
        <v>0.83420229405630864</v>
      </c>
      <c r="AB112" s="179">
        <f t="shared" si="187"/>
        <v>3.2913046530372254E-2</v>
      </c>
      <c r="AC112" s="179"/>
      <c r="AD112" s="179">
        <f t="shared" si="188"/>
        <v>0.56206185567010303</v>
      </c>
      <c r="AE112" s="563">
        <f t="shared" si="189"/>
        <v>26.994206491765127</v>
      </c>
      <c r="AF112" s="546">
        <f t="shared" si="190"/>
        <v>2.8524639175257726E-2</v>
      </c>
      <c r="AH112" s="179">
        <f t="shared" si="191"/>
        <v>0.11070374496346622</v>
      </c>
      <c r="AI112" s="179">
        <f t="shared" si="192"/>
        <v>0.28999999999999998</v>
      </c>
      <c r="AJ112" s="179">
        <f t="shared" si="193"/>
        <v>1.0154252608524372</v>
      </c>
      <c r="AL112" s="563">
        <f t="shared" si="194"/>
        <v>2.2000000000000002</v>
      </c>
      <c r="AM112" s="472">
        <f t="shared" si="195"/>
        <v>26.994206491765127</v>
      </c>
      <c r="AO112" s="472">
        <f t="shared" si="196"/>
        <v>2.2000000000000002</v>
      </c>
      <c r="AP112" s="472">
        <f t="shared" si="197"/>
        <v>26.994206491765127</v>
      </c>
      <c r="AR112" s="6">
        <f t="shared" si="146"/>
        <v>37.04498594189316</v>
      </c>
      <c r="AS112" s="6">
        <f t="shared" si="198"/>
        <v>1.363</v>
      </c>
      <c r="AT112" s="6">
        <f t="shared" si="199"/>
        <v>35.68198594189316</v>
      </c>
      <c r="AU112" s="179">
        <f t="shared" si="200"/>
        <v>3.6793103448275861E-2</v>
      </c>
      <c r="AW112" s="6">
        <f t="shared" si="201"/>
        <v>1.2494166666666667E-2</v>
      </c>
      <c r="AX112" s="6">
        <f t="shared" si="202"/>
        <v>4.5433333333333339E-2</v>
      </c>
      <c r="AY112" s="6">
        <f t="shared" si="203"/>
        <v>0.33052786977753662</v>
      </c>
      <c r="AZ112" s="6"/>
      <c r="BA112" s="179">
        <f t="shared" si="204"/>
        <v>3.2115935815936192E-2</v>
      </c>
      <c r="BB112" s="179">
        <f t="shared" si="205"/>
        <v>0.16432254866572629</v>
      </c>
      <c r="BC112" s="179">
        <f t="shared" si="206"/>
        <v>0.29571961448191936</v>
      </c>
      <c r="BD112" s="179"/>
      <c r="BE112" s="546">
        <f t="shared" si="207"/>
        <v>3.610016666666666E-4</v>
      </c>
      <c r="BF112" s="546">
        <f t="shared" si="208"/>
        <v>2.0108996698459279E-3</v>
      </c>
      <c r="BG112" s="546">
        <f t="shared" si="209"/>
        <v>3.3742758114706407E-4</v>
      </c>
      <c r="BH112" s="546">
        <f t="shared" si="210"/>
        <v>1.5832945676373114E-3</v>
      </c>
      <c r="BI112">
        <f t="shared" si="211"/>
        <v>2.8999999999999998E-3</v>
      </c>
      <c r="BK112" s="472">
        <f t="shared" si="212"/>
        <v>7.1926234852969699</v>
      </c>
      <c r="BL112" s="179">
        <f t="shared" si="213"/>
        <v>6.6E-4</v>
      </c>
      <c r="BM112" s="179">
        <f t="shared" si="214"/>
        <v>1.1999999999999999E-3</v>
      </c>
      <c r="BN112" s="546"/>
      <c r="BP112" s="472">
        <f t="shared" si="215"/>
        <v>1.8599999999999999</v>
      </c>
      <c r="BQ112" s="546">
        <f t="shared" si="216"/>
        <v>2.0628666666666664E-4</v>
      </c>
      <c r="BR112" s="546">
        <f t="shared" si="217"/>
        <v>5.4003799999999972E-3</v>
      </c>
      <c r="BS112" s="546">
        <f t="shared" si="218"/>
        <v>8.7450090389335003E-3</v>
      </c>
      <c r="BT112" s="546">
        <f t="shared" si="219"/>
        <v>8.5731695605931095E-6</v>
      </c>
      <c r="BU112" s="546"/>
      <c r="BV112" s="656">
        <f t="shared" si="220"/>
        <v>4.1998936170212773E-4</v>
      </c>
      <c r="BW112" s="472">
        <f t="shared" si="221"/>
        <v>14.780238236862882</v>
      </c>
      <c r="BX112" s="179">
        <f t="shared" si="222"/>
        <v>2.3832861722159853E-2</v>
      </c>
      <c r="BY112" s="6">
        <f t="shared" si="223"/>
        <v>0.1008</v>
      </c>
      <c r="BZ112" s="179">
        <f t="shared" si="224"/>
        <v>0.80877545943468976</v>
      </c>
      <c r="CA112" s="6">
        <f t="shared" si="225"/>
        <v>80.877545943468974</v>
      </c>
      <c r="CB112">
        <f t="shared" si="226"/>
        <v>2</v>
      </c>
      <c r="CD112" s="581">
        <f t="shared" si="227"/>
        <v>-50</v>
      </c>
      <c r="CE112">
        <f t="shared" si="228"/>
        <v>-50</v>
      </c>
    </row>
    <row r="113" spans="5:83" x14ac:dyDescent="0.2">
      <c r="E113" s="176">
        <v>3</v>
      </c>
      <c r="F113" s="223">
        <f t="shared" si="229"/>
        <v>3.3E-3</v>
      </c>
      <c r="G113" s="223">
        <f t="shared" si="168"/>
        <v>6.0000000000000001E-3</v>
      </c>
      <c r="H113" s="223">
        <f t="shared" si="169"/>
        <v>7.9199999999999993E-2</v>
      </c>
      <c r="I113" s="223">
        <f t="shared" si="170"/>
        <v>7.2000000000000008E-2</v>
      </c>
      <c r="J113" s="559">
        <f t="shared" si="171"/>
        <v>10</v>
      </c>
      <c r="K113" s="454">
        <f t="shared" si="172"/>
        <v>24.25</v>
      </c>
      <c r="L113" s="454">
        <f t="shared" si="173"/>
        <v>34.25</v>
      </c>
      <c r="M113" s="454"/>
      <c r="N113" s="223">
        <f t="shared" si="174"/>
        <v>0.70802919708029199</v>
      </c>
      <c r="O113" s="178">
        <f t="shared" si="175"/>
        <v>2.5543839068474097</v>
      </c>
      <c r="P113" s="178">
        <f t="shared" si="176"/>
        <v>4.4332282680822832</v>
      </c>
      <c r="Q113" s="223">
        <f t="shared" si="177"/>
        <v>0.10643266278530873</v>
      </c>
      <c r="R113" s="223">
        <f t="shared" si="178"/>
        <v>0.21286532557061746</v>
      </c>
      <c r="S113" s="223">
        <f t="shared" si="179"/>
        <v>24</v>
      </c>
      <c r="T113" s="223">
        <f t="shared" si="180"/>
        <v>4.4958003255561582E-2</v>
      </c>
      <c r="U113" s="223">
        <f t="shared" si="181"/>
        <v>0.21130261530113942</v>
      </c>
      <c r="V113" s="223">
        <f t="shared" si="182"/>
        <v>8.7135099093253371E-2</v>
      </c>
      <c r="W113" s="203">
        <f t="shared" si="183"/>
        <v>350</v>
      </c>
      <c r="X113" s="454">
        <f t="shared" si="184"/>
        <v>350</v>
      </c>
      <c r="Z113" s="223">
        <f t="shared" si="185"/>
        <v>0.43041288576309544</v>
      </c>
      <c r="AA113" s="179">
        <f t="shared" si="186"/>
        <v>0.83420229405630864</v>
      </c>
      <c r="AB113" s="179">
        <f t="shared" si="187"/>
        <v>3.2913046530372254E-2</v>
      </c>
      <c r="AC113" s="179"/>
      <c r="AD113" s="179">
        <f t="shared" si="188"/>
        <v>0.56206185567010303</v>
      </c>
      <c r="AE113" s="563">
        <f t="shared" si="189"/>
        <v>40.491309737647697</v>
      </c>
      <c r="AF113" s="546">
        <f t="shared" si="190"/>
        <v>2.8524639175257726E-2</v>
      </c>
      <c r="AH113" s="179">
        <f t="shared" si="191"/>
        <v>0.13558384388784769</v>
      </c>
      <c r="AI113" s="179">
        <f t="shared" si="192"/>
        <v>0.28999999999999998</v>
      </c>
      <c r="AJ113" s="179">
        <f t="shared" si="193"/>
        <v>1.0231378912786557</v>
      </c>
      <c r="AL113" s="563">
        <f t="shared" si="194"/>
        <v>3.3</v>
      </c>
      <c r="AM113" s="472">
        <f t="shared" si="195"/>
        <v>40.491309737647697</v>
      </c>
      <c r="AO113" s="472">
        <f t="shared" si="196"/>
        <v>3.3</v>
      </c>
      <c r="AP113" s="472">
        <f t="shared" si="197"/>
        <v>40.491309737647697</v>
      </c>
      <c r="AR113" s="6">
        <f t="shared" si="146"/>
        <v>24.696657294595433</v>
      </c>
      <c r="AS113" s="6">
        <f t="shared" si="198"/>
        <v>1.363</v>
      </c>
      <c r="AT113" s="6">
        <f t="shared" si="199"/>
        <v>23.333657294595433</v>
      </c>
      <c r="AU113" s="179">
        <f t="shared" si="200"/>
        <v>5.518965517241381E-2</v>
      </c>
      <c r="AW113" s="6">
        <f t="shared" si="201"/>
        <v>1.8741250000000001E-2</v>
      </c>
      <c r="AX113" s="6">
        <f t="shared" si="202"/>
        <v>6.8149999999999988E-2</v>
      </c>
      <c r="AY113" s="6">
        <f t="shared" si="203"/>
        <v>0.32421502767227334</v>
      </c>
      <c r="AZ113" s="6"/>
      <c r="BA113" s="179">
        <f t="shared" si="204"/>
        <v>3.933382768050931E-2</v>
      </c>
      <c r="BB113" s="179">
        <f t="shared" si="205"/>
        <v>0.16274576287367154</v>
      </c>
      <c r="BC113" s="179">
        <f t="shared" si="206"/>
        <v>0.29288198513443675</v>
      </c>
      <c r="BD113" s="179"/>
      <c r="BE113" s="546">
        <f t="shared" si="207"/>
        <v>5.4150250000000008E-4</v>
      </c>
      <c r="BF113" s="546">
        <f t="shared" si="208"/>
        <v>3.0163495047688922E-3</v>
      </c>
      <c r="BG113" s="546">
        <f t="shared" si="209"/>
        <v>5.0614137172059614E-4</v>
      </c>
      <c r="BH113" s="546">
        <f t="shared" si="210"/>
        <v>2.3749418514559676E-3</v>
      </c>
      <c r="BI113">
        <f t="shared" si="211"/>
        <v>2.8999999999999998E-3</v>
      </c>
      <c r="BK113" s="472">
        <f t="shared" si="212"/>
        <v>9.3389352279454556</v>
      </c>
      <c r="BL113" s="179">
        <f t="shared" si="213"/>
        <v>9.8999999999999999E-4</v>
      </c>
      <c r="BM113" s="179">
        <f t="shared" si="214"/>
        <v>1.8E-3</v>
      </c>
      <c r="BN113" s="546"/>
      <c r="BP113" s="472">
        <f t="shared" si="215"/>
        <v>2.79</v>
      </c>
      <c r="BQ113" s="546">
        <f t="shared" si="216"/>
        <v>3.0943000000000008E-4</v>
      </c>
      <c r="BR113" s="546">
        <f t="shared" si="217"/>
        <v>5.2972366666666658E-3</v>
      </c>
      <c r="BS113" s="546">
        <f t="shared" si="218"/>
        <v>8.5779857216288433E-3</v>
      </c>
      <c r="BT113" s="546">
        <f t="shared" si="219"/>
        <v>2.3624877264540514E-5</v>
      </c>
      <c r="BU113" s="546"/>
      <c r="BV113" s="656">
        <f t="shared" si="220"/>
        <v>6.2998404255319176E-4</v>
      </c>
      <c r="BW113" s="472">
        <f t="shared" si="221"/>
        <v>14.838261308113241</v>
      </c>
      <c r="BX113" s="179">
        <f t="shared" si="222"/>
        <v>2.6967196536058696E-2</v>
      </c>
      <c r="BY113" s="6">
        <f t="shared" si="223"/>
        <v>0.1512</v>
      </c>
      <c r="BZ113" s="179">
        <f t="shared" si="224"/>
        <v>0.84864106827543373</v>
      </c>
      <c r="CA113" s="6">
        <f t="shared" si="225"/>
        <v>84.864106827543367</v>
      </c>
      <c r="CB113">
        <f t="shared" si="226"/>
        <v>3</v>
      </c>
      <c r="CD113" s="581">
        <f t="shared" si="227"/>
        <v>-50</v>
      </c>
      <c r="CE113">
        <f t="shared" si="228"/>
        <v>-50</v>
      </c>
    </row>
    <row r="114" spans="5:83" x14ac:dyDescent="0.2">
      <c r="E114" s="176">
        <v>4</v>
      </c>
      <c r="F114" s="223">
        <f t="shared" si="229"/>
        <v>4.4000000000000003E-3</v>
      </c>
      <c r="G114" s="223">
        <f t="shared" si="168"/>
        <v>8.0000000000000002E-3</v>
      </c>
      <c r="H114" s="223">
        <f t="shared" si="169"/>
        <v>0.1056</v>
      </c>
      <c r="I114" s="223">
        <f t="shared" si="170"/>
        <v>9.6000000000000002E-2</v>
      </c>
      <c r="J114" s="559">
        <f t="shared" si="171"/>
        <v>10</v>
      </c>
      <c r="K114" s="454">
        <f t="shared" si="172"/>
        <v>24.25</v>
      </c>
      <c r="L114" s="454">
        <f t="shared" si="173"/>
        <v>34.25</v>
      </c>
      <c r="M114" s="454"/>
      <c r="N114" s="223">
        <f t="shared" si="174"/>
        <v>0.70802919708029199</v>
      </c>
      <c r="O114" s="178">
        <f t="shared" si="175"/>
        <v>2.5543839068474097</v>
      </c>
      <c r="P114" s="178">
        <f t="shared" si="176"/>
        <v>4.4332282680822832</v>
      </c>
      <c r="Q114" s="223">
        <f t="shared" si="177"/>
        <v>0.10643266278530873</v>
      </c>
      <c r="R114" s="223">
        <f t="shared" si="178"/>
        <v>0.21286532557061746</v>
      </c>
      <c r="S114" s="223">
        <f t="shared" si="179"/>
        <v>24</v>
      </c>
      <c r="T114" s="223">
        <f t="shared" si="180"/>
        <v>5.9944004340748779E-2</v>
      </c>
      <c r="U114" s="223">
        <f t="shared" si="181"/>
        <v>0.28173682040151926</v>
      </c>
      <c r="V114" s="223">
        <f t="shared" si="182"/>
        <v>0.11618013212433784</v>
      </c>
      <c r="W114" s="203">
        <f t="shared" si="183"/>
        <v>350</v>
      </c>
      <c r="X114" s="454">
        <f t="shared" si="184"/>
        <v>350</v>
      </c>
      <c r="Z114" s="223">
        <f t="shared" si="185"/>
        <v>0.43041288576309544</v>
      </c>
      <c r="AA114" s="179">
        <f t="shared" si="186"/>
        <v>0.83420229405630864</v>
      </c>
      <c r="AB114" s="179">
        <f t="shared" si="187"/>
        <v>3.2913046530372254E-2</v>
      </c>
      <c r="AC114" s="179"/>
      <c r="AD114" s="179">
        <f t="shared" si="188"/>
        <v>0.56206185567010303</v>
      </c>
      <c r="AE114" s="563">
        <f t="shared" si="189"/>
        <v>53.988412983530253</v>
      </c>
      <c r="AF114" s="546">
        <f t="shared" si="190"/>
        <v>2.8524639175257726E-2</v>
      </c>
      <c r="AH114" s="179">
        <f t="shared" si="191"/>
        <v>0.15655873753282615</v>
      </c>
      <c r="AI114" s="179">
        <f t="shared" si="192"/>
        <v>0.28999999999999998</v>
      </c>
      <c r="AJ114" s="179">
        <f t="shared" si="193"/>
        <v>1.0308505217048745</v>
      </c>
      <c r="AL114" s="563">
        <f t="shared" si="194"/>
        <v>4.4000000000000004</v>
      </c>
      <c r="AM114" s="472">
        <f t="shared" si="195"/>
        <v>53.988412983530253</v>
      </c>
      <c r="AO114" s="472">
        <f t="shared" si="196"/>
        <v>4.4000000000000004</v>
      </c>
      <c r="AP114" s="472">
        <f t="shared" si="197"/>
        <v>53.988412983530253</v>
      </c>
      <c r="AR114" s="6">
        <f t="shared" si="146"/>
        <v>18.52249297094658</v>
      </c>
      <c r="AS114" s="6">
        <f t="shared" si="198"/>
        <v>1.363</v>
      </c>
      <c r="AT114" s="6">
        <f t="shared" si="199"/>
        <v>17.15949297094658</v>
      </c>
      <c r="AU114" s="179">
        <f t="shared" si="200"/>
        <v>7.3586206896551723E-2</v>
      </c>
      <c r="AW114" s="6">
        <f t="shared" si="201"/>
        <v>2.4988333333333335E-2</v>
      </c>
      <c r="AX114" s="6">
        <f t="shared" si="202"/>
        <v>9.0866666666666679E-2</v>
      </c>
      <c r="AY114" s="6">
        <f t="shared" si="203"/>
        <v>0.31790218556701028</v>
      </c>
      <c r="AZ114" s="6"/>
      <c r="BA114" s="179">
        <f t="shared" si="204"/>
        <v>4.5418791999200799E-2</v>
      </c>
      <c r="BB114" s="179">
        <f t="shared" si="205"/>
        <v>0.16115354996607015</v>
      </c>
      <c r="BC114" s="179">
        <f t="shared" si="206"/>
        <v>0.29001659270331737</v>
      </c>
      <c r="BD114" s="179"/>
      <c r="BE114" s="546">
        <f t="shared" si="207"/>
        <v>7.2200333333333319E-4</v>
      </c>
      <c r="BF114" s="546">
        <f t="shared" si="208"/>
        <v>4.0217993396918558E-3</v>
      </c>
      <c r="BG114" s="546">
        <f t="shared" si="209"/>
        <v>6.7485516229412814E-4</v>
      </c>
      <c r="BH114" s="546">
        <f t="shared" si="210"/>
        <v>3.1665891352746227E-3</v>
      </c>
      <c r="BI114">
        <f t="shared" si="211"/>
        <v>2.8999999999999998E-3</v>
      </c>
      <c r="BK114" s="472">
        <f t="shared" si="212"/>
        <v>11.48524697059394</v>
      </c>
      <c r="BL114" s="179">
        <f t="shared" si="213"/>
        <v>1.32E-3</v>
      </c>
      <c r="BM114" s="179">
        <f t="shared" si="214"/>
        <v>2.3999999999999998E-3</v>
      </c>
      <c r="BN114" s="546"/>
      <c r="BP114" s="472">
        <f t="shared" si="215"/>
        <v>3.7199999999999998</v>
      </c>
      <c r="BQ114" s="546">
        <f t="shared" si="216"/>
        <v>4.1257333333333328E-4</v>
      </c>
      <c r="BR114" s="546">
        <f t="shared" si="217"/>
        <v>5.1940933333333335E-3</v>
      </c>
      <c r="BS114" s="546">
        <f t="shared" si="218"/>
        <v>8.410962404324188E-3</v>
      </c>
      <c r="BT114" s="546">
        <f t="shared" si="219"/>
        <v>4.8497170660459824E-5</v>
      </c>
      <c r="BU114" s="546"/>
      <c r="BV114" s="656">
        <f t="shared" si="220"/>
        <v>8.3997872340425546E-4</v>
      </c>
      <c r="BW114" s="472">
        <f t="shared" si="221"/>
        <v>14.906104965055571</v>
      </c>
      <c r="BX114" s="179">
        <f t="shared" si="222"/>
        <v>3.0111351935649507E-2</v>
      </c>
      <c r="BY114" s="6">
        <f t="shared" si="223"/>
        <v>0.2016</v>
      </c>
      <c r="BZ114" s="179">
        <f t="shared" si="224"/>
        <v>0.87004800721195574</v>
      </c>
      <c r="CA114" s="6">
        <f t="shared" si="225"/>
        <v>87.004800721195579</v>
      </c>
      <c r="CB114">
        <f t="shared" si="226"/>
        <v>4</v>
      </c>
      <c r="CD114" s="581">
        <f t="shared" si="227"/>
        <v>-50</v>
      </c>
      <c r="CE114">
        <f t="shared" si="228"/>
        <v>-50</v>
      </c>
    </row>
    <row r="115" spans="5:83" x14ac:dyDescent="0.2">
      <c r="E115" s="176">
        <v>5</v>
      </c>
      <c r="F115" s="223">
        <f t="shared" si="229"/>
        <v>5.5000000000000005E-3</v>
      </c>
      <c r="G115" s="223">
        <f t="shared" si="168"/>
        <v>1.0000000000000002E-2</v>
      </c>
      <c r="H115" s="223">
        <f t="shared" si="169"/>
        <v>0.13200000000000001</v>
      </c>
      <c r="I115" s="223">
        <f t="shared" si="170"/>
        <v>0.12000000000000002</v>
      </c>
      <c r="J115" s="559">
        <f t="shared" si="171"/>
        <v>10</v>
      </c>
      <c r="K115" s="454">
        <f t="shared" si="172"/>
        <v>24.25</v>
      </c>
      <c r="L115" s="454">
        <f t="shared" si="173"/>
        <v>34.25</v>
      </c>
      <c r="M115" s="454"/>
      <c r="N115" s="223">
        <f t="shared" si="174"/>
        <v>0.70802919708029199</v>
      </c>
      <c r="O115" s="178">
        <f t="shared" si="175"/>
        <v>2.5543839068474097</v>
      </c>
      <c r="P115" s="178">
        <f t="shared" si="176"/>
        <v>4.4332282680822832</v>
      </c>
      <c r="Q115" s="223">
        <f t="shared" si="177"/>
        <v>0.10643266278530873</v>
      </c>
      <c r="R115" s="223">
        <f t="shared" si="178"/>
        <v>0.21286532557061746</v>
      </c>
      <c r="S115" s="223">
        <f t="shared" si="179"/>
        <v>24</v>
      </c>
      <c r="T115" s="223">
        <f t="shared" si="180"/>
        <v>7.4930005425935975E-2</v>
      </c>
      <c r="U115" s="223">
        <f t="shared" si="181"/>
        <v>0.35217102550189905</v>
      </c>
      <c r="V115" s="223">
        <f t="shared" si="182"/>
        <v>0.14522516515542228</v>
      </c>
      <c r="W115" s="203">
        <f t="shared" si="183"/>
        <v>350</v>
      </c>
      <c r="X115" s="454">
        <f t="shared" si="184"/>
        <v>350</v>
      </c>
      <c r="Z115" s="223">
        <f t="shared" si="185"/>
        <v>0.43041288576309544</v>
      </c>
      <c r="AA115" s="179">
        <f t="shared" si="186"/>
        <v>0.83420229405630864</v>
      </c>
      <c r="AB115" s="179">
        <f t="shared" si="187"/>
        <v>3.2913046530372254E-2</v>
      </c>
      <c r="AC115" s="179"/>
      <c r="AD115" s="179">
        <f t="shared" si="188"/>
        <v>0.56206185567010303</v>
      </c>
      <c r="AE115" s="563">
        <f t="shared" si="189"/>
        <v>67.485516229412823</v>
      </c>
      <c r="AF115" s="546">
        <f t="shared" si="190"/>
        <v>2.8524639175257726E-2</v>
      </c>
      <c r="AH115" s="179">
        <f t="shared" si="191"/>
        <v>0.17503798979747348</v>
      </c>
      <c r="AI115" s="179">
        <f t="shared" si="192"/>
        <v>0.28999999999999998</v>
      </c>
      <c r="AJ115" s="179">
        <f t="shared" si="193"/>
        <v>1.038563152131093</v>
      </c>
      <c r="AL115" s="563">
        <f t="shared" si="194"/>
        <v>5.5000000000000009</v>
      </c>
      <c r="AM115" s="472">
        <f t="shared" si="195"/>
        <v>67.485516229412823</v>
      </c>
      <c r="AO115" s="472">
        <f t="shared" si="196"/>
        <v>5.5000000000000009</v>
      </c>
      <c r="AP115" s="472">
        <f t="shared" si="197"/>
        <v>67.485516229412823</v>
      </c>
      <c r="AR115" s="6">
        <f t="shared" si="146"/>
        <v>14.817994376757261</v>
      </c>
      <c r="AS115" s="6">
        <f t="shared" ref="AS115:AS178" si="230">L*AI115/J115*1000000</f>
        <v>1.363</v>
      </c>
      <c r="AT115" s="6">
        <f t="shared" ref="AT115:AT178" si="231">AR115-AS115</f>
        <v>13.454994376757261</v>
      </c>
      <c r="AU115" s="179">
        <f t="shared" ref="AU115:AU178" si="232">AS115/AR115</f>
        <v>9.1982758620689678E-2</v>
      </c>
      <c r="AW115" s="6">
        <f t="shared" si="201"/>
        <v>3.1235416666666665E-2</v>
      </c>
      <c r="AX115" s="6">
        <f t="shared" si="202"/>
        <v>0.11358333333333336</v>
      </c>
      <c r="AY115" s="6">
        <f t="shared" si="203"/>
        <v>0.3115893434617471</v>
      </c>
      <c r="AZ115" s="6"/>
      <c r="BA115" s="179">
        <f t="shared" si="204"/>
        <v>5.077975318306828E-2</v>
      </c>
      <c r="BB115" s="179">
        <f t="shared" si="205"/>
        <v>0.15954544807044793</v>
      </c>
      <c r="BC115" s="179">
        <f t="shared" si="206"/>
        <v>0.28712260598948891</v>
      </c>
      <c r="BD115" s="179"/>
      <c r="BE115" s="546">
        <f t="shared" si="207"/>
        <v>9.0250416666666641E-4</v>
      </c>
      <c r="BF115" s="546">
        <f t="shared" si="208"/>
        <v>5.027249174614821E-3</v>
      </c>
      <c r="BG115" s="546">
        <f t="shared" si="209"/>
        <v>8.4356895286766026E-4</v>
      </c>
      <c r="BH115" s="546">
        <f t="shared" si="210"/>
        <v>3.9582364190932796E-3</v>
      </c>
      <c r="BI115">
        <f t="shared" si="211"/>
        <v>2.8999999999999998E-3</v>
      </c>
      <c r="BK115" s="472">
        <f t="shared" si="212"/>
        <v>13.631558713242427</v>
      </c>
      <c r="BL115" s="179">
        <f t="shared" si="213"/>
        <v>1.6500000000000002E-3</v>
      </c>
      <c r="BM115" s="179">
        <f t="shared" si="214"/>
        <v>3.0000000000000005E-3</v>
      </c>
      <c r="BN115" s="546"/>
      <c r="BP115" s="472">
        <f t="shared" si="215"/>
        <v>4.6500000000000004</v>
      </c>
      <c r="BQ115" s="546">
        <f t="shared" si="216"/>
        <v>5.1571666666666658E-4</v>
      </c>
      <c r="BR115" s="546">
        <f t="shared" si="217"/>
        <v>5.0909500000000003E-3</v>
      </c>
      <c r="BS115" s="546">
        <f t="shared" si="218"/>
        <v>8.2439390870195292E-3</v>
      </c>
      <c r="BT115" s="546">
        <f t="shared" si="219"/>
        <v>8.4721070557184746E-5</v>
      </c>
      <c r="BU115" s="546"/>
      <c r="BV115" s="656">
        <f t="shared" si="220"/>
        <v>1.0499734042553194E-3</v>
      </c>
      <c r="BW115" s="472">
        <f t="shared" si="221"/>
        <v>14.9853002284987</v>
      </c>
      <c r="BX115" s="179">
        <f t="shared" si="222"/>
        <v>3.3266858941741133E-2</v>
      </c>
      <c r="BY115" s="6">
        <f t="shared" si="223"/>
        <v>0.252</v>
      </c>
      <c r="BZ115" s="179">
        <f t="shared" si="224"/>
        <v>0.88338337279993995</v>
      </c>
      <c r="CA115" s="6">
        <f t="shared" si="225"/>
        <v>88.338337279993993</v>
      </c>
      <c r="CB115">
        <f t="shared" si="226"/>
        <v>5</v>
      </c>
      <c r="CD115" s="581">
        <f t="shared" si="227"/>
        <v>-50</v>
      </c>
      <c r="CE115">
        <f t="shared" si="228"/>
        <v>-50</v>
      </c>
    </row>
    <row r="116" spans="5:83" x14ac:dyDescent="0.2">
      <c r="E116" s="176">
        <v>6</v>
      </c>
      <c r="F116" s="223">
        <f t="shared" si="229"/>
        <v>6.6E-3</v>
      </c>
      <c r="G116" s="223">
        <f t="shared" si="168"/>
        <v>1.2E-2</v>
      </c>
      <c r="H116" s="223">
        <f t="shared" si="169"/>
        <v>0.15839999999999999</v>
      </c>
      <c r="I116" s="223">
        <f t="shared" si="170"/>
        <v>0.14400000000000002</v>
      </c>
      <c r="J116" s="559">
        <f t="shared" si="171"/>
        <v>10</v>
      </c>
      <c r="K116" s="454">
        <f t="shared" si="172"/>
        <v>24.25</v>
      </c>
      <c r="L116" s="454">
        <f t="shared" si="173"/>
        <v>34.25</v>
      </c>
      <c r="M116" s="454"/>
      <c r="N116" s="223">
        <f t="shared" si="174"/>
        <v>0.70802919708029199</v>
      </c>
      <c r="O116" s="178">
        <f t="shared" si="175"/>
        <v>2.5543839068474097</v>
      </c>
      <c r="P116" s="178">
        <f t="shared" si="176"/>
        <v>4.4332282680822832</v>
      </c>
      <c r="Q116" s="223">
        <f t="shared" si="177"/>
        <v>0.10643266278530873</v>
      </c>
      <c r="R116" s="223">
        <f t="shared" si="178"/>
        <v>0.21286532557061746</v>
      </c>
      <c r="S116" s="223">
        <f t="shared" si="179"/>
        <v>24</v>
      </c>
      <c r="T116" s="223">
        <f t="shared" si="180"/>
        <v>8.9916006511123164E-2</v>
      </c>
      <c r="U116" s="223">
        <f t="shared" si="181"/>
        <v>0.42260523060227884</v>
      </c>
      <c r="V116" s="223">
        <f t="shared" si="182"/>
        <v>0.17427019818650674</v>
      </c>
      <c r="W116" s="203">
        <f t="shared" si="183"/>
        <v>350</v>
      </c>
      <c r="X116" s="454">
        <f t="shared" si="184"/>
        <v>350</v>
      </c>
      <c r="Z116" s="223">
        <f t="shared" si="185"/>
        <v>0.43041288576309544</v>
      </c>
      <c r="AA116" s="179">
        <f t="shared" si="186"/>
        <v>0.83420229405630864</v>
      </c>
      <c r="AB116" s="179">
        <f t="shared" si="187"/>
        <v>3.2913046530372254E-2</v>
      </c>
      <c r="AC116" s="179"/>
      <c r="AD116" s="179">
        <f t="shared" si="188"/>
        <v>0.56206185567010303</v>
      </c>
      <c r="AE116" s="563">
        <f t="shared" si="189"/>
        <v>80.982619475295394</v>
      </c>
      <c r="AF116" s="546">
        <f t="shared" si="190"/>
        <v>2.8524639175257726E-2</v>
      </c>
      <c r="AH116" s="179">
        <f t="shared" si="191"/>
        <v>0.19174451086487068</v>
      </c>
      <c r="AI116" s="179">
        <f t="shared" si="192"/>
        <v>0.28999999999999998</v>
      </c>
      <c r="AJ116" s="179">
        <f t="shared" si="193"/>
        <v>1.0462757825573117</v>
      </c>
      <c r="AL116" s="563">
        <f t="shared" si="194"/>
        <v>6.6</v>
      </c>
      <c r="AM116" s="472">
        <f t="shared" si="195"/>
        <v>80.982619475295394</v>
      </c>
      <c r="AO116" s="472">
        <f t="shared" si="196"/>
        <v>6.6</v>
      </c>
      <c r="AP116" s="472">
        <f t="shared" si="197"/>
        <v>80.982619475295394</v>
      </c>
      <c r="AR116" s="6">
        <f t="shared" si="146"/>
        <v>12.348328647297716</v>
      </c>
      <c r="AS116" s="6">
        <f t="shared" si="230"/>
        <v>1.363</v>
      </c>
      <c r="AT116" s="6">
        <f t="shared" si="231"/>
        <v>10.985328647297717</v>
      </c>
      <c r="AU116" s="179">
        <f t="shared" si="232"/>
        <v>0.11037931034482762</v>
      </c>
      <c r="AW116" s="6">
        <f t="shared" si="201"/>
        <v>3.7482500000000002E-2</v>
      </c>
      <c r="AX116" s="6">
        <f t="shared" si="202"/>
        <v>0.13629999999999998</v>
      </c>
      <c r="AY116" s="6">
        <f t="shared" si="203"/>
        <v>0.30527650135648388</v>
      </c>
      <c r="AZ116" s="6"/>
      <c r="BA116" s="179">
        <f t="shared" si="204"/>
        <v>5.5626432565822524E-2</v>
      </c>
      <c r="BB116" s="179">
        <f t="shared" si="205"/>
        <v>0.15792097179707743</v>
      </c>
      <c r="BC116" s="179">
        <f t="shared" si="206"/>
        <v>0.28419915147154945</v>
      </c>
      <c r="BD116" s="179"/>
      <c r="BE116" s="546">
        <f t="shared" si="207"/>
        <v>1.0830050000000002E-3</v>
      </c>
      <c r="BF116" s="546">
        <f t="shared" si="208"/>
        <v>6.0326990095377845E-3</v>
      </c>
      <c r="BG116" s="546">
        <f t="shared" si="209"/>
        <v>1.0122827434411923E-3</v>
      </c>
      <c r="BH116" s="546">
        <f t="shared" si="210"/>
        <v>4.7498837029119351E-3</v>
      </c>
      <c r="BI116">
        <f t="shared" si="211"/>
        <v>2.8999999999999998E-3</v>
      </c>
      <c r="BK116" s="472">
        <f t="shared" si="212"/>
        <v>15.777870455890911</v>
      </c>
      <c r="BL116" s="179">
        <f t="shared" si="213"/>
        <v>1.98E-3</v>
      </c>
      <c r="BM116" s="179">
        <f t="shared" si="214"/>
        <v>3.5999999999999999E-3</v>
      </c>
      <c r="BN116" s="546"/>
      <c r="BP116" s="472">
        <f t="shared" si="215"/>
        <v>5.58</v>
      </c>
      <c r="BQ116" s="546">
        <f t="shared" si="216"/>
        <v>6.1886000000000016E-4</v>
      </c>
      <c r="BR116" s="546">
        <f t="shared" si="217"/>
        <v>4.9878066666666646E-3</v>
      </c>
      <c r="BS116" s="546">
        <f t="shared" si="218"/>
        <v>8.0769157697148704E-3</v>
      </c>
      <c r="BT116" s="546">
        <f t="shared" si="219"/>
        <v>1.3364248734765182E-4</v>
      </c>
      <c r="BU116" s="546"/>
      <c r="BV116" s="656">
        <f t="shared" si="220"/>
        <v>1.2599680851063835E-3</v>
      </c>
      <c r="BW116" s="472">
        <f t="shared" si="221"/>
        <v>15.07719300883557</v>
      </c>
      <c r="BX116" s="179">
        <f t="shared" si="222"/>
        <v>3.6435063464726476E-2</v>
      </c>
      <c r="BY116" s="6">
        <f t="shared" si="223"/>
        <v>0.3024</v>
      </c>
      <c r="BZ116" s="179">
        <f t="shared" si="224"/>
        <v>0.89246961901710198</v>
      </c>
      <c r="CA116" s="6">
        <f t="shared" si="225"/>
        <v>89.246961901710193</v>
      </c>
      <c r="CB116">
        <f t="shared" si="226"/>
        <v>6</v>
      </c>
      <c r="CD116" s="581">
        <f t="shared" si="227"/>
        <v>-50</v>
      </c>
      <c r="CE116">
        <f t="shared" si="228"/>
        <v>-50</v>
      </c>
    </row>
    <row r="117" spans="5:83" x14ac:dyDescent="0.2">
      <c r="E117" s="176">
        <v>7</v>
      </c>
      <c r="F117" s="223">
        <f t="shared" si="229"/>
        <v>7.7000000000000011E-3</v>
      </c>
      <c r="G117" s="223">
        <f t="shared" si="168"/>
        <v>1.4000000000000002E-2</v>
      </c>
      <c r="H117" s="223">
        <f t="shared" si="169"/>
        <v>0.18480000000000002</v>
      </c>
      <c r="I117" s="223">
        <f t="shared" si="170"/>
        <v>0.16800000000000004</v>
      </c>
      <c r="J117" s="559">
        <f t="shared" si="171"/>
        <v>10</v>
      </c>
      <c r="K117" s="454">
        <f t="shared" si="172"/>
        <v>24.25</v>
      </c>
      <c r="L117" s="454">
        <f t="shared" si="173"/>
        <v>34.25</v>
      </c>
      <c r="M117" s="454"/>
      <c r="N117" s="223">
        <f t="shared" si="174"/>
        <v>0.70802919708029199</v>
      </c>
      <c r="O117" s="178">
        <f t="shared" si="175"/>
        <v>2.5543839068474097</v>
      </c>
      <c r="P117" s="178">
        <f t="shared" si="176"/>
        <v>4.4332282680822832</v>
      </c>
      <c r="Q117" s="223">
        <f t="shared" si="177"/>
        <v>0.10643266278530873</v>
      </c>
      <c r="R117" s="223">
        <f t="shared" si="178"/>
        <v>0.21286532557061746</v>
      </c>
      <c r="S117" s="223">
        <f t="shared" si="179"/>
        <v>24</v>
      </c>
      <c r="T117" s="223">
        <f t="shared" si="180"/>
        <v>0.10490200759631038</v>
      </c>
      <c r="U117" s="223">
        <f t="shared" si="181"/>
        <v>0.49303943570265873</v>
      </c>
      <c r="V117" s="223">
        <f t="shared" si="182"/>
        <v>0.20331523121759124</v>
      </c>
      <c r="W117" s="203">
        <f t="shared" si="183"/>
        <v>350</v>
      </c>
      <c r="X117" s="454">
        <f t="shared" si="184"/>
        <v>350</v>
      </c>
      <c r="Z117" s="223">
        <f t="shared" si="185"/>
        <v>0.43041288576309544</v>
      </c>
      <c r="AA117" s="179">
        <f t="shared" si="186"/>
        <v>0.83420229405630864</v>
      </c>
      <c r="AB117" s="179">
        <f t="shared" si="187"/>
        <v>3.2913046530372254E-2</v>
      </c>
      <c r="AC117" s="179"/>
      <c r="AD117" s="179">
        <f t="shared" si="188"/>
        <v>0.56206185567010303</v>
      </c>
      <c r="AE117" s="563">
        <f t="shared" si="189"/>
        <v>94.479722721177964</v>
      </c>
      <c r="AF117" s="546">
        <f t="shared" si="190"/>
        <v>2.8524639175257726E-2</v>
      </c>
      <c r="AH117" s="179">
        <f t="shared" si="191"/>
        <v>0.20710774254304595</v>
      </c>
      <c r="AI117" s="179">
        <f t="shared" si="192"/>
        <v>0.28999999999999998</v>
      </c>
      <c r="AJ117" s="179">
        <f t="shared" si="193"/>
        <v>1.0539884129835302</v>
      </c>
      <c r="AL117" s="563">
        <f t="shared" si="194"/>
        <v>7.7000000000000011</v>
      </c>
      <c r="AM117" s="472">
        <f t="shared" si="195"/>
        <v>94.479722721177964</v>
      </c>
      <c r="AO117" s="472">
        <f t="shared" si="196"/>
        <v>7.7000000000000011</v>
      </c>
      <c r="AP117" s="472">
        <f t="shared" si="197"/>
        <v>94.479722721177964</v>
      </c>
      <c r="AR117" s="6">
        <f t="shared" si="146"/>
        <v>10.584281697683755</v>
      </c>
      <c r="AS117" s="6">
        <f t="shared" si="230"/>
        <v>1.363</v>
      </c>
      <c r="AT117" s="6">
        <f t="shared" si="231"/>
        <v>9.2212816976837555</v>
      </c>
      <c r="AU117" s="179">
        <f t="shared" si="232"/>
        <v>0.12877586206896557</v>
      </c>
      <c r="AW117" s="6">
        <f t="shared" si="201"/>
        <v>4.3729583333333336E-2</v>
      </c>
      <c r="AX117" s="6">
        <f t="shared" si="202"/>
        <v>0.1590166666666667</v>
      </c>
      <c r="AY117" s="6">
        <f t="shared" si="203"/>
        <v>0.2989636592512207</v>
      </c>
      <c r="AZ117" s="6"/>
      <c r="BA117" s="179">
        <f t="shared" si="204"/>
        <v>6.0083414239427736E-2</v>
      </c>
      <c r="BB117" s="179">
        <f t="shared" si="205"/>
        <v>0.15627961052762662</v>
      </c>
      <c r="BC117" s="179">
        <f t="shared" si="206"/>
        <v>0.28124531022596999</v>
      </c>
      <c r="BD117" s="179"/>
      <c r="BE117" s="546">
        <f t="shared" si="207"/>
        <v>1.2635058333333336E-3</v>
      </c>
      <c r="BF117" s="546">
        <f t="shared" si="208"/>
        <v>7.0381488444607497E-3</v>
      </c>
      <c r="BG117" s="546">
        <f t="shared" si="209"/>
        <v>1.1809965340147245E-3</v>
      </c>
      <c r="BH117" s="546">
        <f t="shared" si="210"/>
        <v>5.5415309867305907E-3</v>
      </c>
      <c r="BI117">
        <f t="shared" si="211"/>
        <v>2.8999999999999998E-3</v>
      </c>
      <c r="BK117" s="472">
        <f t="shared" si="212"/>
        <v>17.924182198539398</v>
      </c>
      <c r="BL117" s="179">
        <f t="shared" si="213"/>
        <v>2.3100000000000004E-3</v>
      </c>
      <c r="BM117" s="179">
        <f t="shared" si="214"/>
        <v>4.2000000000000006E-3</v>
      </c>
      <c r="BN117" s="546"/>
      <c r="BP117" s="472">
        <f t="shared" si="215"/>
        <v>6.5100000000000007</v>
      </c>
      <c r="BQ117" s="546">
        <f t="shared" si="216"/>
        <v>7.2200333333333362E-4</v>
      </c>
      <c r="BR117" s="546">
        <f t="shared" si="217"/>
        <v>4.8846633333333341E-3</v>
      </c>
      <c r="BS117" s="546">
        <f t="shared" si="218"/>
        <v>7.90989245241021E-3</v>
      </c>
      <c r="BT117" s="546">
        <f t="shared" si="219"/>
        <v>1.9647691218855964E-4</v>
      </c>
      <c r="BU117" s="546"/>
      <c r="BV117" s="656">
        <f t="shared" si="220"/>
        <v>1.4699627659574474E-3</v>
      </c>
      <c r="BW117" s="472">
        <f t="shared" si="221"/>
        <v>15.182998797222885</v>
      </c>
      <c r="BX117" s="179">
        <f t="shared" si="222"/>
        <v>3.9617180995762287E-2</v>
      </c>
      <c r="BY117" s="6">
        <f t="shared" si="223"/>
        <v>0.35280000000000006</v>
      </c>
      <c r="BZ117" s="179">
        <f t="shared" si="224"/>
        <v>0.89904320474645549</v>
      </c>
      <c r="CA117" s="6">
        <f t="shared" si="225"/>
        <v>89.904320474645544</v>
      </c>
      <c r="CB117">
        <f t="shared" si="226"/>
        <v>7.0000000000000009</v>
      </c>
      <c r="CD117" s="581">
        <f t="shared" si="227"/>
        <v>-50</v>
      </c>
      <c r="CE117">
        <f t="shared" si="228"/>
        <v>-50</v>
      </c>
    </row>
    <row r="118" spans="5:83" x14ac:dyDescent="0.2">
      <c r="E118" s="176">
        <v>8</v>
      </c>
      <c r="F118" s="223">
        <f t="shared" si="229"/>
        <v>8.8000000000000005E-3</v>
      </c>
      <c r="G118" s="223">
        <f t="shared" si="168"/>
        <v>1.6E-2</v>
      </c>
      <c r="H118" s="223">
        <f t="shared" si="169"/>
        <v>0.2112</v>
      </c>
      <c r="I118" s="223">
        <f t="shared" si="170"/>
        <v>0.192</v>
      </c>
      <c r="J118" s="559">
        <f t="shared" si="171"/>
        <v>10</v>
      </c>
      <c r="K118" s="454">
        <f t="shared" si="172"/>
        <v>24.25</v>
      </c>
      <c r="L118" s="454">
        <f t="shared" si="173"/>
        <v>34.25</v>
      </c>
      <c r="M118" s="454"/>
      <c r="N118" s="223">
        <f t="shared" si="174"/>
        <v>0.70802919708029199</v>
      </c>
      <c r="O118" s="178">
        <f t="shared" si="175"/>
        <v>2.5543839068474097</v>
      </c>
      <c r="P118" s="178">
        <f t="shared" si="176"/>
        <v>4.4332282680822832</v>
      </c>
      <c r="Q118" s="223">
        <f t="shared" si="177"/>
        <v>0.10643266278530873</v>
      </c>
      <c r="R118" s="223">
        <f t="shared" si="178"/>
        <v>0.21286532557061746</v>
      </c>
      <c r="S118" s="223">
        <f t="shared" si="179"/>
        <v>24</v>
      </c>
      <c r="T118" s="223">
        <f t="shared" si="180"/>
        <v>0.11988800868149756</v>
      </c>
      <c r="U118" s="223">
        <f t="shared" si="181"/>
        <v>0.56347364080303852</v>
      </c>
      <c r="V118" s="223">
        <f t="shared" si="182"/>
        <v>0.23236026424867567</v>
      </c>
      <c r="W118" s="203">
        <f t="shared" si="183"/>
        <v>350</v>
      </c>
      <c r="X118" s="454">
        <f t="shared" si="184"/>
        <v>350</v>
      </c>
      <c r="Z118" s="223">
        <f t="shared" si="185"/>
        <v>0.43041288576309544</v>
      </c>
      <c r="AA118" s="179">
        <f t="shared" si="186"/>
        <v>0.83420229405630864</v>
      </c>
      <c r="AB118" s="179">
        <f t="shared" si="187"/>
        <v>3.2913046530372254E-2</v>
      </c>
      <c r="AC118" s="179"/>
      <c r="AD118" s="179">
        <f t="shared" si="188"/>
        <v>0.56206185567010303</v>
      </c>
      <c r="AE118" s="563">
        <f t="shared" si="189"/>
        <v>107.97682596706051</v>
      </c>
      <c r="AF118" s="546">
        <f t="shared" si="190"/>
        <v>2.8524639175257726E-2</v>
      </c>
      <c r="AH118" s="179">
        <f t="shared" si="191"/>
        <v>0.22140748992693243</v>
      </c>
      <c r="AI118" s="179">
        <f t="shared" si="192"/>
        <v>0.28999999999999998</v>
      </c>
      <c r="AJ118" s="179">
        <f t="shared" si="193"/>
        <v>1.0617010434097489</v>
      </c>
      <c r="AL118" s="563">
        <f t="shared" si="194"/>
        <v>8.8000000000000007</v>
      </c>
      <c r="AM118" s="472">
        <f t="shared" si="195"/>
        <v>107.97682596706051</v>
      </c>
      <c r="AO118" s="472">
        <f t="shared" si="196"/>
        <v>8.8000000000000007</v>
      </c>
      <c r="AP118" s="472">
        <f t="shared" si="197"/>
        <v>107.97682596706051</v>
      </c>
      <c r="AR118" s="6">
        <f t="shared" si="146"/>
        <v>9.2612464854732899</v>
      </c>
      <c r="AS118" s="6">
        <f t="shared" si="230"/>
        <v>1.363</v>
      </c>
      <c r="AT118" s="6">
        <f t="shared" si="231"/>
        <v>7.8982464854732903</v>
      </c>
      <c r="AU118" s="179">
        <f t="shared" si="232"/>
        <v>0.14717241379310345</v>
      </c>
      <c r="AW118" s="6">
        <f t="shared" si="201"/>
        <v>4.9976666666666669E-2</v>
      </c>
      <c r="AX118" s="6">
        <f t="shared" si="202"/>
        <v>0.18173333333333336</v>
      </c>
      <c r="AY118" s="6">
        <f t="shared" si="203"/>
        <v>0.29265081714595764</v>
      </c>
      <c r="AZ118" s="6"/>
      <c r="BA118" s="179">
        <f t="shared" si="204"/>
        <v>6.4231871631872384E-2</v>
      </c>
      <c r="BB118" s="179">
        <f t="shared" si="205"/>
        <v>0.15462082654028209</v>
      </c>
      <c r="BC118" s="179">
        <f t="shared" si="206"/>
        <v>0.27826011455301231</v>
      </c>
      <c r="BD118" s="179"/>
      <c r="BE118" s="546">
        <f t="shared" si="207"/>
        <v>1.4440066666666664E-3</v>
      </c>
      <c r="BF118" s="546">
        <f t="shared" si="208"/>
        <v>8.0435986793837115E-3</v>
      </c>
      <c r="BG118" s="546">
        <f t="shared" si="209"/>
        <v>1.3497103245882563E-3</v>
      </c>
      <c r="BH118" s="546">
        <f t="shared" si="210"/>
        <v>6.3331782705492454E-3</v>
      </c>
      <c r="BI118">
        <f t="shared" si="211"/>
        <v>2.8999999999999998E-3</v>
      </c>
      <c r="BK118" s="472">
        <f t="shared" si="212"/>
        <v>20.07049394118788</v>
      </c>
      <c r="BL118" s="179">
        <f t="shared" si="213"/>
        <v>2.64E-3</v>
      </c>
      <c r="BM118" s="179">
        <f t="shared" si="214"/>
        <v>4.7999999999999996E-3</v>
      </c>
      <c r="BN118" s="546"/>
      <c r="BP118" s="472">
        <f t="shared" si="215"/>
        <v>7.4399999999999995</v>
      </c>
      <c r="BQ118" s="546">
        <f t="shared" si="216"/>
        <v>8.2514666666666655E-4</v>
      </c>
      <c r="BR118" s="546">
        <f t="shared" si="217"/>
        <v>4.7815200000000009E-3</v>
      </c>
      <c r="BS118" s="546">
        <f t="shared" si="218"/>
        <v>7.7428691351055529E-3</v>
      </c>
      <c r="BT118" s="546">
        <f t="shared" si="219"/>
        <v>2.7434142593897912E-4</v>
      </c>
      <c r="BU118" s="546"/>
      <c r="BV118" s="656">
        <f t="shared" si="220"/>
        <v>1.6799574468085109E-3</v>
      </c>
      <c r="BW118" s="472">
        <f t="shared" si="221"/>
        <v>15.303834674519711</v>
      </c>
      <c r="BX118" s="179">
        <f t="shared" si="222"/>
        <v>4.2814328615707581E-2</v>
      </c>
      <c r="BY118" s="6">
        <f t="shared" si="223"/>
        <v>0.4032</v>
      </c>
      <c r="BZ118" s="179">
        <f t="shared" si="224"/>
        <v>0.90400683146528016</v>
      </c>
      <c r="CA118" s="6">
        <f t="shared" si="225"/>
        <v>90.40068314652801</v>
      </c>
      <c r="CB118">
        <f t="shared" si="226"/>
        <v>8</v>
      </c>
      <c r="CD118" s="581">
        <f t="shared" si="227"/>
        <v>-50</v>
      </c>
      <c r="CE118">
        <f t="shared" si="228"/>
        <v>-50</v>
      </c>
    </row>
    <row r="119" spans="5:83" x14ac:dyDescent="0.2">
      <c r="E119" s="176">
        <v>9</v>
      </c>
      <c r="F119" s="223">
        <f t="shared" si="229"/>
        <v>9.8999999999999991E-3</v>
      </c>
      <c r="G119" s="223">
        <f t="shared" si="168"/>
        <v>1.7999999999999999E-2</v>
      </c>
      <c r="H119" s="223">
        <f t="shared" si="169"/>
        <v>0.23759999999999998</v>
      </c>
      <c r="I119" s="223">
        <f t="shared" si="170"/>
        <v>0.21599999999999997</v>
      </c>
      <c r="J119" s="559">
        <f t="shared" si="171"/>
        <v>10</v>
      </c>
      <c r="K119" s="454">
        <f t="shared" si="172"/>
        <v>24.25</v>
      </c>
      <c r="L119" s="454">
        <f t="shared" si="173"/>
        <v>34.25</v>
      </c>
      <c r="M119" s="454"/>
      <c r="N119" s="223">
        <f t="shared" si="174"/>
        <v>0.70802919708029199</v>
      </c>
      <c r="O119" s="178">
        <f t="shared" si="175"/>
        <v>2.5543839068474097</v>
      </c>
      <c r="P119" s="178">
        <f t="shared" si="176"/>
        <v>4.4332282680822832</v>
      </c>
      <c r="Q119" s="223">
        <f t="shared" si="177"/>
        <v>0.10643266278530873</v>
      </c>
      <c r="R119" s="223">
        <f t="shared" si="178"/>
        <v>0.21286532557061746</v>
      </c>
      <c r="S119" s="223">
        <f t="shared" si="179"/>
        <v>24</v>
      </c>
      <c r="T119" s="223">
        <f t="shared" si="180"/>
        <v>0.13487400976668473</v>
      </c>
      <c r="U119" s="223">
        <f t="shared" si="181"/>
        <v>0.6339078459034182</v>
      </c>
      <c r="V119" s="223">
        <f t="shared" si="182"/>
        <v>0.26140529727976008</v>
      </c>
      <c r="W119" s="203">
        <f t="shared" si="183"/>
        <v>350</v>
      </c>
      <c r="X119" s="454">
        <f t="shared" si="184"/>
        <v>350</v>
      </c>
      <c r="Z119" s="223">
        <f t="shared" si="185"/>
        <v>0.43041288576309544</v>
      </c>
      <c r="AA119" s="179">
        <f t="shared" si="186"/>
        <v>0.83420229405630864</v>
      </c>
      <c r="AB119" s="179">
        <f t="shared" si="187"/>
        <v>3.2913046530372254E-2</v>
      </c>
      <c r="AC119" s="179"/>
      <c r="AD119" s="179">
        <f t="shared" si="188"/>
        <v>0.56206185567010303</v>
      </c>
      <c r="AE119" s="563">
        <f t="shared" si="189"/>
        <v>121.47392921294306</v>
      </c>
      <c r="AF119" s="546">
        <f t="shared" si="190"/>
        <v>2.8524639175257726E-2</v>
      </c>
      <c r="AH119" s="179">
        <f t="shared" si="191"/>
        <v>0.23483810629923918</v>
      </c>
      <c r="AI119" s="179">
        <f t="shared" si="192"/>
        <v>0.28999999999999998</v>
      </c>
      <c r="AJ119" s="179">
        <f t="shared" si="193"/>
        <v>1.0694136738359674</v>
      </c>
      <c r="AL119" s="563">
        <f t="shared" si="194"/>
        <v>9.8999999999999986</v>
      </c>
      <c r="AM119" s="472">
        <f t="shared" si="195"/>
        <v>121.47392921294306</v>
      </c>
      <c r="AO119" s="472">
        <f t="shared" si="196"/>
        <v>9.8999999999999986</v>
      </c>
      <c r="AP119" s="472">
        <f t="shared" si="197"/>
        <v>121.47392921294306</v>
      </c>
      <c r="AR119" s="6">
        <f t="shared" si="146"/>
        <v>8.2322190981984793</v>
      </c>
      <c r="AS119" s="6">
        <f t="shared" si="230"/>
        <v>1.363</v>
      </c>
      <c r="AT119" s="6">
        <f t="shared" si="231"/>
        <v>6.8692190981984798</v>
      </c>
      <c r="AU119" s="179">
        <f t="shared" si="232"/>
        <v>0.16556896551724137</v>
      </c>
      <c r="AW119" s="6">
        <f t="shared" si="201"/>
        <v>5.6223749999999996E-2</v>
      </c>
      <c r="AX119" s="6">
        <f t="shared" si="202"/>
        <v>0.20444999999999999</v>
      </c>
      <c r="AY119" s="6">
        <f t="shared" si="203"/>
        <v>0.28633797504069447</v>
      </c>
      <c r="AZ119" s="6"/>
      <c r="BA119" s="179">
        <f t="shared" si="204"/>
        <v>6.8128187998801187E-2</v>
      </c>
      <c r="BB119" s="179">
        <f t="shared" si="205"/>
        <v>0.15294405295183375</v>
      </c>
      <c r="BC119" s="179">
        <f t="shared" si="206"/>
        <v>0.2752425442732444</v>
      </c>
      <c r="BD119" s="179"/>
      <c r="BE119" s="546">
        <f t="shared" si="207"/>
        <v>1.6245074999999994E-3</v>
      </c>
      <c r="BF119" s="546">
        <f t="shared" si="208"/>
        <v>9.0490485143066759E-3</v>
      </c>
      <c r="BG119" s="546">
        <f t="shared" si="209"/>
        <v>1.5184241151617883E-3</v>
      </c>
      <c r="BH119" s="546">
        <f t="shared" si="210"/>
        <v>7.124825554367901E-3</v>
      </c>
      <c r="BI119">
        <f t="shared" si="211"/>
        <v>2.8999999999999998E-3</v>
      </c>
      <c r="BK119" s="472">
        <f t="shared" si="212"/>
        <v>22.216805683836366</v>
      </c>
      <c r="BL119" s="179">
        <f t="shared" si="213"/>
        <v>2.9699999999999996E-3</v>
      </c>
      <c r="BM119" s="179">
        <f t="shared" si="214"/>
        <v>5.3999999999999994E-3</v>
      </c>
      <c r="BN119" s="546"/>
      <c r="BP119" s="472">
        <f t="shared" si="215"/>
        <v>8.3699999999999992</v>
      </c>
      <c r="BQ119" s="546">
        <f t="shared" si="216"/>
        <v>9.2828999999999969E-4</v>
      </c>
      <c r="BR119" s="546">
        <f t="shared" si="217"/>
        <v>4.6783766666666652E-3</v>
      </c>
      <c r="BS119" s="546">
        <f t="shared" si="218"/>
        <v>7.5758458178008907E-3</v>
      </c>
      <c r="BT119" s="546">
        <f t="shared" si="219"/>
        <v>3.6827538970286681E-4</v>
      </c>
      <c r="BU119" s="546"/>
      <c r="BV119" s="656">
        <f t="shared" si="220"/>
        <v>1.8899521276595746E-3</v>
      </c>
      <c r="BW119" s="472">
        <f t="shared" si="221"/>
        <v>15.440740001829997</v>
      </c>
      <c r="BX119" s="179">
        <f t="shared" si="222"/>
        <v>4.602754568566636E-2</v>
      </c>
      <c r="BY119" s="6">
        <f t="shared" si="223"/>
        <v>0.45359999999999995</v>
      </c>
      <c r="BZ119" s="179">
        <f t="shared" si="224"/>
        <v>0.90787628487836824</v>
      </c>
      <c r="CA119" s="6">
        <f t="shared" si="225"/>
        <v>90.787628487836827</v>
      </c>
      <c r="CB119">
        <f t="shared" si="226"/>
        <v>9</v>
      </c>
      <c r="CD119" s="581">
        <f t="shared" si="227"/>
        <v>-50</v>
      </c>
      <c r="CE119">
        <f t="shared" si="228"/>
        <v>-50</v>
      </c>
    </row>
    <row r="120" spans="5:83" x14ac:dyDescent="0.2">
      <c r="E120" s="176">
        <v>10</v>
      </c>
      <c r="F120" s="223">
        <f t="shared" si="229"/>
        <v>1.1000000000000001E-2</v>
      </c>
      <c r="G120" s="223">
        <f t="shared" si="168"/>
        <v>2.0000000000000004E-2</v>
      </c>
      <c r="H120" s="223">
        <f t="shared" si="169"/>
        <v>0.26400000000000001</v>
      </c>
      <c r="I120" s="223">
        <f t="shared" si="170"/>
        <v>0.24000000000000005</v>
      </c>
      <c r="J120" s="559">
        <f t="shared" si="171"/>
        <v>10</v>
      </c>
      <c r="K120" s="454">
        <f t="shared" si="172"/>
        <v>24.25</v>
      </c>
      <c r="L120" s="454">
        <f t="shared" si="173"/>
        <v>34.25</v>
      </c>
      <c r="M120" s="454"/>
      <c r="N120" s="223">
        <f t="shared" si="174"/>
        <v>0.70802919708029199</v>
      </c>
      <c r="O120" s="178">
        <f t="shared" si="175"/>
        <v>2.5543839068474097</v>
      </c>
      <c r="P120" s="178">
        <f t="shared" si="176"/>
        <v>4.4332282680822832</v>
      </c>
      <c r="Q120" s="223">
        <f t="shared" si="177"/>
        <v>0.10643266278530873</v>
      </c>
      <c r="R120" s="223">
        <f t="shared" si="178"/>
        <v>0.21286532557061746</v>
      </c>
      <c r="S120" s="223">
        <f t="shared" si="179"/>
        <v>24</v>
      </c>
      <c r="T120" s="223">
        <f t="shared" si="180"/>
        <v>0.14986001085187195</v>
      </c>
      <c r="U120" s="223">
        <f t="shared" si="181"/>
        <v>0.7043420510037981</v>
      </c>
      <c r="V120" s="223">
        <f t="shared" si="182"/>
        <v>0.29045033031084455</v>
      </c>
      <c r="W120" s="203">
        <f t="shared" si="183"/>
        <v>350</v>
      </c>
      <c r="X120" s="454">
        <f t="shared" si="184"/>
        <v>350</v>
      </c>
      <c r="Z120" s="223">
        <f t="shared" si="185"/>
        <v>0.43041288576309544</v>
      </c>
      <c r="AA120" s="179">
        <f t="shared" si="186"/>
        <v>0.83420229405630864</v>
      </c>
      <c r="AB120" s="179">
        <f t="shared" si="187"/>
        <v>3.2913046530372254E-2</v>
      </c>
      <c r="AC120" s="179"/>
      <c r="AD120" s="179">
        <f t="shared" si="188"/>
        <v>0.56206185567010303</v>
      </c>
      <c r="AE120" s="563">
        <f t="shared" si="189"/>
        <v>134.97103245882565</v>
      </c>
      <c r="AF120" s="546">
        <f t="shared" si="190"/>
        <v>2.8524639175257726E-2</v>
      </c>
      <c r="AH120" s="179">
        <f t="shared" si="191"/>
        <v>0.24754109910211042</v>
      </c>
      <c r="AI120" s="179">
        <f t="shared" si="192"/>
        <v>0.28999999999999998</v>
      </c>
      <c r="AJ120" s="179">
        <f t="shared" si="193"/>
        <v>1.0771263042621861</v>
      </c>
      <c r="AL120" s="563">
        <f t="shared" si="194"/>
        <v>11.000000000000002</v>
      </c>
      <c r="AM120" s="472">
        <f t="shared" si="195"/>
        <v>134.97103245882565</v>
      </c>
      <c r="AO120" s="472">
        <f t="shared" si="196"/>
        <v>11.000000000000002</v>
      </c>
      <c r="AP120" s="472">
        <f t="shared" si="197"/>
        <v>134.97103245882565</v>
      </c>
      <c r="AR120" s="6">
        <f t="shared" si="146"/>
        <v>7.4089971883786303</v>
      </c>
      <c r="AS120" s="6">
        <f t="shared" si="230"/>
        <v>1.363</v>
      </c>
      <c r="AT120" s="6">
        <f t="shared" si="231"/>
        <v>6.0459971883786299</v>
      </c>
      <c r="AU120" s="179">
        <f t="shared" si="232"/>
        <v>0.18396551724137936</v>
      </c>
      <c r="AW120" s="6">
        <f t="shared" si="201"/>
        <v>6.247083333333333E-2</v>
      </c>
      <c r="AX120" s="6">
        <f t="shared" si="202"/>
        <v>0.22716666666666671</v>
      </c>
      <c r="AY120" s="6">
        <f t="shared" si="203"/>
        <v>0.2800251329354313</v>
      </c>
      <c r="AZ120" s="6"/>
      <c r="BA120" s="179">
        <f t="shared" si="204"/>
        <v>7.1813415645453516E-2</v>
      </c>
      <c r="BB120" s="179">
        <f t="shared" si="205"/>
        <v>0.15124869145439462</v>
      </c>
      <c r="BC120" s="179">
        <f t="shared" si="206"/>
        <v>0.27219152265447644</v>
      </c>
      <c r="BD120" s="179"/>
      <c r="BE120" s="546">
        <f t="shared" si="207"/>
        <v>1.8050083333333335E-3</v>
      </c>
      <c r="BF120" s="546">
        <f t="shared" si="208"/>
        <v>1.0054498349229642E-2</v>
      </c>
      <c r="BG120" s="546">
        <f t="shared" si="209"/>
        <v>1.6871379057353205E-3</v>
      </c>
      <c r="BH120" s="546">
        <f t="shared" si="210"/>
        <v>7.9164728381865591E-3</v>
      </c>
      <c r="BI120">
        <f t="shared" si="211"/>
        <v>2.8999999999999998E-3</v>
      </c>
      <c r="BK120" s="472">
        <f t="shared" si="212"/>
        <v>24.363117426484855</v>
      </c>
      <c r="BL120" s="179">
        <f t="shared" si="213"/>
        <v>3.3000000000000004E-3</v>
      </c>
      <c r="BM120" s="179">
        <f t="shared" si="214"/>
        <v>6.000000000000001E-3</v>
      </c>
      <c r="BN120" s="546"/>
      <c r="BP120" s="472">
        <f t="shared" si="215"/>
        <v>9.3000000000000007</v>
      </c>
      <c r="BQ120" s="546">
        <f t="shared" si="216"/>
        <v>1.0314333333333336E-3</v>
      </c>
      <c r="BR120" s="546">
        <f t="shared" si="217"/>
        <v>4.5752333333333338E-3</v>
      </c>
      <c r="BS120" s="546">
        <f t="shared" si="218"/>
        <v>7.4088225004962363E-3</v>
      </c>
      <c r="BT120" s="546">
        <f t="shared" si="219"/>
        <v>4.7925474800295393E-4</v>
      </c>
      <c r="BU120" s="546"/>
      <c r="BV120" s="656">
        <f t="shared" si="220"/>
        <v>2.0999468085106388E-3</v>
      </c>
      <c r="BW120" s="472">
        <f t="shared" si="221"/>
        <v>15.594690723676495</v>
      </c>
      <c r="BX120" s="179">
        <f t="shared" si="222"/>
        <v>4.9257808150161349E-2</v>
      </c>
      <c r="BY120" s="6">
        <f t="shared" si="223"/>
        <v>0.504</v>
      </c>
      <c r="BZ120" s="179">
        <f t="shared" si="224"/>
        <v>0.91096771265667864</v>
      </c>
      <c r="CA120" s="6">
        <f t="shared" si="225"/>
        <v>91.096771265667869</v>
      </c>
      <c r="CB120">
        <f t="shared" si="226"/>
        <v>10</v>
      </c>
      <c r="CD120" s="581">
        <f t="shared" si="227"/>
        <v>-50</v>
      </c>
      <c r="CE120">
        <f t="shared" si="228"/>
        <v>-50</v>
      </c>
    </row>
    <row r="121" spans="5:83" x14ac:dyDescent="0.2">
      <c r="E121" s="176">
        <v>11</v>
      </c>
      <c r="F121" s="223">
        <f t="shared" si="229"/>
        <v>1.21E-2</v>
      </c>
      <c r="G121" s="223">
        <f t="shared" si="168"/>
        <v>2.2000000000000002E-2</v>
      </c>
      <c r="H121" s="223">
        <f t="shared" si="169"/>
        <v>0.29039999999999999</v>
      </c>
      <c r="I121" s="223">
        <f t="shared" si="170"/>
        <v>0.26400000000000001</v>
      </c>
      <c r="J121" s="559">
        <f t="shared" si="171"/>
        <v>10</v>
      </c>
      <c r="K121" s="454">
        <f t="shared" si="172"/>
        <v>24.25</v>
      </c>
      <c r="L121" s="454">
        <f t="shared" si="173"/>
        <v>34.25</v>
      </c>
      <c r="M121" s="454"/>
      <c r="N121" s="223">
        <f t="shared" si="174"/>
        <v>0.70802919708029199</v>
      </c>
      <c r="O121" s="178">
        <f t="shared" si="175"/>
        <v>2.5543839068474097</v>
      </c>
      <c r="P121" s="178">
        <f t="shared" si="176"/>
        <v>4.4332282680822832</v>
      </c>
      <c r="Q121" s="223">
        <f t="shared" si="177"/>
        <v>0.10643266278530873</v>
      </c>
      <c r="R121" s="223">
        <f t="shared" si="178"/>
        <v>0.21286532557061746</v>
      </c>
      <c r="S121" s="223">
        <f t="shared" si="179"/>
        <v>24</v>
      </c>
      <c r="T121" s="223">
        <f t="shared" si="180"/>
        <v>0.16484601193705914</v>
      </c>
      <c r="U121" s="223">
        <f t="shared" si="181"/>
        <v>0.774776256104178</v>
      </c>
      <c r="V121" s="223">
        <f t="shared" si="182"/>
        <v>0.31949536334192907</v>
      </c>
      <c r="W121" s="203">
        <f t="shared" si="183"/>
        <v>350</v>
      </c>
      <c r="X121" s="454">
        <f t="shared" si="184"/>
        <v>350</v>
      </c>
      <c r="Z121" s="223">
        <f t="shared" si="185"/>
        <v>0.43041288576309544</v>
      </c>
      <c r="AA121" s="179">
        <f t="shared" si="186"/>
        <v>0.83420229405630864</v>
      </c>
      <c r="AB121" s="179">
        <f t="shared" si="187"/>
        <v>3.2913046530372254E-2</v>
      </c>
      <c r="AC121" s="179"/>
      <c r="AD121" s="179">
        <f t="shared" si="188"/>
        <v>0.56206185567010303</v>
      </c>
      <c r="AE121" s="563">
        <f t="shared" si="189"/>
        <v>148.4681357047082</v>
      </c>
      <c r="AF121" s="546">
        <f t="shared" si="190"/>
        <v>2.8524639175257726E-2</v>
      </c>
      <c r="AH121" s="179">
        <f t="shared" si="191"/>
        <v>0.25962329502405779</v>
      </c>
      <c r="AI121" s="179">
        <f t="shared" si="192"/>
        <v>0.28999999999999998</v>
      </c>
      <c r="AJ121" s="179">
        <f t="shared" si="193"/>
        <v>1.0848389346884046</v>
      </c>
      <c r="AL121" s="563">
        <f t="shared" si="194"/>
        <v>12.1</v>
      </c>
      <c r="AM121" s="472">
        <f t="shared" si="195"/>
        <v>148.4681357047082</v>
      </c>
      <c r="AO121" s="472">
        <f t="shared" si="196"/>
        <v>12.1</v>
      </c>
      <c r="AP121" s="472">
        <f t="shared" si="197"/>
        <v>148.4681357047082</v>
      </c>
      <c r="AR121" s="6">
        <f t="shared" si="146"/>
        <v>6.7354519894351181</v>
      </c>
      <c r="AS121" s="6">
        <f t="shared" si="230"/>
        <v>1.363</v>
      </c>
      <c r="AT121" s="6">
        <f t="shared" si="231"/>
        <v>5.3724519894351186</v>
      </c>
      <c r="AU121" s="179">
        <f t="shared" si="232"/>
        <v>0.20236206896551728</v>
      </c>
      <c r="AW121" s="6">
        <f t="shared" si="201"/>
        <v>6.8717916666666656E-2</v>
      </c>
      <c r="AX121" s="6">
        <f t="shared" si="202"/>
        <v>0.24988333333333332</v>
      </c>
      <c r="AY121" s="6">
        <f t="shared" si="203"/>
        <v>0.27371229083016807</v>
      </c>
      <c r="AZ121" s="6"/>
      <c r="BA121" s="179">
        <f t="shared" si="204"/>
        <v>7.5318545746272447E-2</v>
      </c>
      <c r="BB121" s="179">
        <f t="shared" si="205"/>
        <v>0.14953410982113746</v>
      </c>
      <c r="BC121" s="179">
        <f t="shared" si="206"/>
        <v>0.26910591192301181</v>
      </c>
      <c r="BD121" s="179"/>
      <c r="BE121" s="546">
        <f t="shared" si="207"/>
        <v>1.9855091666666673E-3</v>
      </c>
      <c r="BF121" s="546">
        <f t="shared" si="208"/>
        <v>1.1059948184152605E-2</v>
      </c>
      <c r="BG121" s="546">
        <f t="shared" si="209"/>
        <v>1.8558516963088523E-3</v>
      </c>
      <c r="BH121" s="546">
        <f t="shared" si="210"/>
        <v>8.708120122005213E-3</v>
      </c>
      <c r="BI121">
        <f t="shared" si="211"/>
        <v>2.8999999999999998E-3</v>
      </c>
      <c r="BK121" s="472">
        <f t="shared" si="212"/>
        <v>26.509429169133341</v>
      </c>
      <c r="BL121" s="179">
        <f t="shared" si="213"/>
        <v>3.6299999999999995E-3</v>
      </c>
      <c r="BM121" s="179">
        <f t="shared" si="214"/>
        <v>6.6000000000000008E-3</v>
      </c>
      <c r="BN121" s="546"/>
      <c r="BP121" s="472">
        <f t="shared" si="215"/>
        <v>10.229999999999999</v>
      </c>
      <c r="BQ121" s="546">
        <f t="shared" si="216"/>
        <v>1.134576666666667E-3</v>
      </c>
      <c r="BR121" s="546">
        <f t="shared" si="217"/>
        <v>4.4720900000000006E-3</v>
      </c>
      <c r="BS121" s="546">
        <f t="shared" si="218"/>
        <v>7.2417991831915792E-3</v>
      </c>
      <c r="BT121" s="546">
        <f t="shared" si="219"/>
        <v>6.0820241048199601E-4</v>
      </c>
      <c r="BU121" s="546"/>
      <c r="BV121" s="656">
        <f t="shared" si="220"/>
        <v>2.3099414893617029E-3</v>
      </c>
      <c r="BW121" s="472">
        <f t="shared" si="221"/>
        <v>15.766609749701944</v>
      </c>
      <c r="BX121" s="179">
        <f t="shared" si="222"/>
        <v>5.2506038918835284E-2</v>
      </c>
      <c r="BY121" s="6">
        <f t="shared" si="223"/>
        <v>0.5544</v>
      </c>
      <c r="BZ121" s="179">
        <f t="shared" si="224"/>
        <v>0.91348572010855011</v>
      </c>
      <c r="CA121" s="6">
        <f t="shared" si="225"/>
        <v>91.348572010855008</v>
      </c>
      <c r="CB121">
        <f t="shared" si="226"/>
        <v>11</v>
      </c>
      <c r="CD121" s="581">
        <f t="shared" si="227"/>
        <v>-50</v>
      </c>
      <c r="CE121">
        <f t="shared" si="228"/>
        <v>-50</v>
      </c>
    </row>
    <row r="122" spans="5:83" x14ac:dyDescent="0.2">
      <c r="E122" s="176">
        <v>12</v>
      </c>
      <c r="F122" s="223">
        <f t="shared" si="229"/>
        <v>1.32E-2</v>
      </c>
      <c r="G122" s="223">
        <f t="shared" si="168"/>
        <v>2.4E-2</v>
      </c>
      <c r="H122" s="223">
        <f t="shared" si="169"/>
        <v>0.31679999999999997</v>
      </c>
      <c r="I122" s="223">
        <f t="shared" si="170"/>
        <v>0.28800000000000003</v>
      </c>
      <c r="J122" s="559">
        <f t="shared" si="171"/>
        <v>10</v>
      </c>
      <c r="K122" s="454">
        <f t="shared" si="172"/>
        <v>24.25</v>
      </c>
      <c r="L122" s="454">
        <f t="shared" si="173"/>
        <v>34.25</v>
      </c>
      <c r="M122" s="454"/>
      <c r="N122" s="223">
        <f t="shared" si="174"/>
        <v>0.70802919708029199</v>
      </c>
      <c r="O122" s="178">
        <f t="shared" si="175"/>
        <v>2.5543839068474097</v>
      </c>
      <c r="P122" s="178">
        <f t="shared" si="176"/>
        <v>4.4332282680822832</v>
      </c>
      <c r="Q122" s="223">
        <f t="shared" si="177"/>
        <v>0.10643266278530873</v>
      </c>
      <c r="R122" s="223">
        <f t="shared" si="178"/>
        <v>0.21286532557061746</v>
      </c>
      <c r="S122" s="223">
        <f t="shared" si="179"/>
        <v>24</v>
      </c>
      <c r="T122" s="223">
        <f t="shared" si="180"/>
        <v>0.17983201302224633</v>
      </c>
      <c r="U122" s="223">
        <f t="shared" si="181"/>
        <v>0.84521046120455767</v>
      </c>
      <c r="V122" s="223">
        <f t="shared" si="182"/>
        <v>0.34854039637301348</v>
      </c>
      <c r="W122" s="203">
        <f t="shared" si="183"/>
        <v>350</v>
      </c>
      <c r="X122" s="454">
        <f t="shared" si="184"/>
        <v>350</v>
      </c>
      <c r="Z122" s="223">
        <f t="shared" si="185"/>
        <v>0.43041288576309544</v>
      </c>
      <c r="AA122" s="179">
        <f t="shared" si="186"/>
        <v>0.83420229405630864</v>
      </c>
      <c r="AB122" s="179">
        <f t="shared" si="187"/>
        <v>3.2913046530372254E-2</v>
      </c>
      <c r="AC122" s="179"/>
      <c r="AD122" s="179">
        <f t="shared" si="188"/>
        <v>0.56206185567010303</v>
      </c>
      <c r="AE122" s="563">
        <f t="shared" si="189"/>
        <v>161.96523895059079</v>
      </c>
      <c r="AF122" s="546">
        <f t="shared" si="190"/>
        <v>2.8524639175257726E-2</v>
      </c>
      <c r="AH122" s="179">
        <f t="shared" si="191"/>
        <v>0.27116768777569539</v>
      </c>
      <c r="AI122" s="179">
        <f t="shared" si="192"/>
        <v>0.28999999999999998</v>
      </c>
      <c r="AJ122" s="179">
        <f t="shared" si="193"/>
        <v>1.0925515651146234</v>
      </c>
      <c r="AL122" s="563">
        <f t="shared" si="194"/>
        <v>13.2</v>
      </c>
      <c r="AM122" s="472">
        <f t="shared" si="195"/>
        <v>161.96523895059079</v>
      </c>
      <c r="AO122" s="472">
        <f t="shared" si="196"/>
        <v>13.2</v>
      </c>
      <c r="AP122" s="472">
        <f t="shared" si="197"/>
        <v>161.96523895059079</v>
      </c>
      <c r="AR122" s="6">
        <f t="shared" si="146"/>
        <v>6.1741643236488581</v>
      </c>
      <c r="AS122" s="6">
        <f t="shared" si="230"/>
        <v>1.363</v>
      </c>
      <c r="AT122" s="6">
        <f t="shared" si="231"/>
        <v>4.8111643236488586</v>
      </c>
      <c r="AU122" s="179">
        <f t="shared" si="232"/>
        <v>0.22075862068965524</v>
      </c>
      <c r="AW122" s="6">
        <f t="shared" si="201"/>
        <v>7.4965000000000004E-2</v>
      </c>
      <c r="AX122" s="6">
        <f t="shared" si="202"/>
        <v>0.27259999999999995</v>
      </c>
      <c r="AY122" s="6">
        <f t="shared" si="203"/>
        <v>0.26739944872490495</v>
      </c>
      <c r="AZ122" s="6"/>
      <c r="BA122" s="179">
        <f t="shared" si="204"/>
        <v>7.8667655361018621E-2</v>
      </c>
      <c r="BB122" s="179">
        <f t="shared" si="205"/>
        <v>0.14779963915156671</v>
      </c>
      <c r="BC122" s="179">
        <f t="shared" si="206"/>
        <v>0.26598450830615905</v>
      </c>
      <c r="BD122" s="179"/>
      <c r="BE122" s="546">
        <f t="shared" si="207"/>
        <v>2.1660100000000003E-3</v>
      </c>
      <c r="BF122" s="546">
        <f t="shared" si="208"/>
        <v>1.2065398019075569E-2</v>
      </c>
      <c r="BG122" s="546">
        <f t="shared" si="209"/>
        <v>2.0245654868823845E-3</v>
      </c>
      <c r="BH122" s="546">
        <f t="shared" si="210"/>
        <v>9.4997674058238703E-3</v>
      </c>
      <c r="BI122">
        <f t="shared" si="211"/>
        <v>2.8999999999999998E-3</v>
      </c>
      <c r="BK122" s="472">
        <f t="shared" si="212"/>
        <v>28.655740911781823</v>
      </c>
      <c r="BL122" s="179">
        <f t="shared" si="213"/>
        <v>3.96E-3</v>
      </c>
      <c r="BM122" s="179">
        <f t="shared" si="214"/>
        <v>7.1999999999999998E-3</v>
      </c>
      <c r="BN122" s="546"/>
      <c r="BP122" s="472">
        <f t="shared" si="215"/>
        <v>11.16</v>
      </c>
      <c r="BQ122" s="546">
        <f t="shared" si="216"/>
        <v>1.2377200000000003E-3</v>
      </c>
      <c r="BR122" s="546">
        <f t="shared" si="217"/>
        <v>4.3689466666666666E-3</v>
      </c>
      <c r="BS122" s="546">
        <f t="shared" si="218"/>
        <v>7.0747758658869196E-3</v>
      </c>
      <c r="BT122" s="546">
        <f t="shared" si="219"/>
        <v>7.5599607246529536E-4</v>
      </c>
      <c r="BU122" s="546"/>
      <c r="BV122" s="656">
        <f t="shared" si="220"/>
        <v>2.519936170212767E-3</v>
      </c>
      <c r="BW122" s="472">
        <f t="shared" si="221"/>
        <v>15.957374775231649</v>
      </c>
      <c r="BX122" s="179">
        <f t="shared" si="222"/>
        <v>5.5773115687013465E-2</v>
      </c>
      <c r="BY122" s="6">
        <f t="shared" si="223"/>
        <v>0.6048</v>
      </c>
      <c r="BZ122" s="179">
        <f t="shared" si="224"/>
        <v>0.91556859587146844</v>
      </c>
      <c r="CA122" s="6">
        <f t="shared" si="225"/>
        <v>91.556859587146846</v>
      </c>
      <c r="CB122">
        <f t="shared" si="226"/>
        <v>12</v>
      </c>
      <c r="CD122" s="581">
        <f t="shared" si="227"/>
        <v>-50</v>
      </c>
      <c r="CE122">
        <f t="shared" si="228"/>
        <v>-50</v>
      </c>
    </row>
    <row r="123" spans="5:83" x14ac:dyDescent="0.2">
      <c r="E123" s="176">
        <v>13</v>
      </c>
      <c r="F123" s="223">
        <f t="shared" si="229"/>
        <v>1.43E-2</v>
      </c>
      <c r="G123" s="223">
        <f t="shared" si="168"/>
        <v>2.6000000000000002E-2</v>
      </c>
      <c r="H123" s="223">
        <f t="shared" si="169"/>
        <v>0.34320000000000001</v>
      </c>
      <c r="I123" s="223">
        <f t="shared" si="170"/>
        <v>0.31200000000000006</v>
      </c>
      <c r="J123" s="559">
        <f t="shared" si="171"/>
        <v>10</v>
      </c>
      <c r="K123" s="454">
        <f t="shared" si="172"/>
        <v>24.25</v>
      </c>
      <c r="L123" s="454">
        <f t="shared" si="173"/>
        <v>34.25</v>
      </c>
      <c r="M123" s="454"/>
      <c r="N123" s="223">
        <f t="shared" si="174"/>
        <v>0.70802919708029199</v>
      </c>
      <c r="O123" s="178">
        <f t="shared" si="175"/>
        <v>2.5543839068474097</v>
      </c>
      <c r="P123" s="178">
        <f t="shared" si="176"/>
        <v>4.4332282680822832</v>
      </c>
      <c r="Q123" s="223">
        <f t="shared" si="177"/>
        <v>0.10643266278530873</v>
      </c>
      <c r="R123" s="223">
        <f t="shared" si="178"/>
        <v>0.21286532557061746</v>
      </c>
      <c r="S123" s="223">
        <f t="shared" si="179"/>
        <v>24</v>
      </c>
      <c r="T123" s="223">
        <f t="shared" si="180"/>
        <v>0.19481801410743352</v>
      </c>
      <c r="U123" s="223">
        <f t="shared" si="181"/>
        <v>0.91564466630493746</v>
      </c>
      <c r="V123" s="223">
        <f t="shared" si="182"/>
        <v>0.37758542940409795</v>
      </c>
      <c r="W123" s="203">
        <f t="shared" si="183"/>
        <v>350</v>
      </c>
      <c r="X123" s="454">
        <f t="shared" si="184"/>
        <v>350</v>
      </c>
      <c r="Z123" s="223">
        <f t="shared" si="185"/>
        <v>0.43041288576309544</v>
      </c>
      <c r="AA123" s="179">
        <f t="shared" si="186"/>
        <v>0.83420229405630864</v>
      </c>
      <c r="AB123" s="179">
        <f t="shared" si="187"/>
        <v>3.2913046530372254E-2</v>
      </c>
      <c r="AC123" s="179"/>
      <c r="AD123" s="179">
        <f t="shared" si="188"/>
        <v>0.56206185567010303</v>
      </c>
      <c r="AE123" s="563">
        <f t="shared" si="189"/>
        <v>175.46234219647332</v>
      </c>
      <c r="AF123" s="546">
        <f t="shared" si="190"/>
        <v>2.8524639175257726E-2</v>
      </c>
      <c r="AH123" s="179">
        <f t="shared" si="191"/>
        <v>0.28224027789825662</v>
      </c>
      <c r="AI123" s="179">
        <f t="shared" si="192"/>
        <v>0.28999999999999998</v>
      </c>
      <c r="AJ123" s="179">
        <f t="shared" si="193"/>
        <v>1.1002641955408419</v>
      </c>
      <c r="AL123" s="563">
        <f t="shared" si="194"/>
        <v>14.3</v>
      </c>
      <c r="AM123" s="472">
        <f t="shared" si="195"/>
        <v>175.46234219647332</v>
      </c>
      <c r="AO123" s="472">
        <f t="shared" si="196"/>
        <v>14.3</v>
      </c>
      <c r="AP123" s="472">
        <f t="shared" si="197"/>
        <v>175.46234219647332</v>
      </c>
      <c r="AR123" s="6">
        <f t="shared" si="146"/>
        <v>5.6992286064451001</v>
      </c>
      <c r="AS123" s="6">
        <f t="shared" si="230"/>
        <v>1.363</v>
      </c>
      <c r="AT123" s="6">
        <f t="shared" si="231"/>
        <v>4.3362286064451006</v>
      </c>
      <c r="AU123" s="179">
        <f t="shared" si="232"/>
        <v>0.23915517241379314</v>
      </c>
      <c r="AW123" s="6">
        <f t="shared" si="201"/>
        <v>8.1212083333333324E-2</v>
      </c>
      <c r="AX123" s="6">
        <f t="shared" si="202"/>
        <v>0.29531666666666667</v>
      </c>
      <c r="AY123" s="6">
        <f t="shared" si="203"/>
        <v>0.26108660661964184</v>
      </c>
      <c r="AZ123" s="6"/>
      <c r="BA123" s="179">
        <f t="shared" si="204"/>
        <v>8.1879891711376038E-2</v>
      </c>
      <c r="BB123" s="179">
        <f t="shared" si="205"/>
        <v>0.14604457082228928</v>
      </c>
      <c r="BC123" s="179">
        <f t="shared" si="206"/>
        <v>0.26282603654475067</v>
      </c>
      <c r="BD123" s="179"/>
      <c r="BE123" s="546">
        <f t="shared" si="207"/>
        <v>2.3465108333333329E-3</v>
      </c>
      <c r="BF123" s="546">
        <f t="shared" si="208"/>
        <v>1.307084785399853E-2</v>
      </c>
      <c r="BG123" s="546">
        <f t="shared" si="209"/>
        <v>2.1932792774559161E-3</v>
      </c>
      <c r="BH123" s="546">
        <f t="shared" si="210"/>
        <v>1.0291414689642524E-2</v>
      </c>
      <c r="BI123">
        <f t="shared" si="211"/>
        <v>2.8999999999999998E-3</v>
      </c>
      <c r="BK123" s="472">
        <f t="shared" si="212"/>
        <v>30.802052654430305</v>
      </c>
      <c r="BL123" s="179">
        <f t="shared" si="213"/>
        <v>4.2899999999999995E-3</v>
      </c>
      <c r="BM123" s="179">
        <f t="shared" si="214"/>
        <v>7.8000000000000005E-3</v>
      </c>
      <c r="BN123" s="546"/>
      <c r="BP123" s="472">
        <f t="shared" si="215"/>
        <v>12.09</v>
      </c>
      <c r="BQ123" s="546">
        <f t="shared" si="216"/>
        <v>1.3408633333333335E-3</v>
      </c>
      <c r="BR123" s="546">
        <f t="shared" si="217"/>
        <v>4.2658033333333343E-3</v>
      </c>
      <c r="BS123" s="546">
        <f t="shared" si="218"/>
        <v>6.9077525485822626E-3</v>
      </c>
      <c r="BT123" s="546">
        <f t="shared" si="219"/>
        <v>9.2347428139923277E-4</v>
      </c>
      <c r="BU123" s="546"/>
      <c r="BV123" s="656">
        <f t="shared" si="220"/>
        <v>2.7299308510638299E-3</v>
      </c>
      <c r="BW123" s="472">
        <f t="shared" si="221"/>
        <v>16.167824347711992</v>
      </c>
      <c r="BX123" s="179">
        <f t="shared" si="222"/>
        <v>5.905987700214229E-2</v>
      </c>
      <c r="BY123" s="6">
        <f t="shared" si="223"/>
        <v>0.6552</v>
      </c>
      <c r="BZ123" s="179">
        <f t="shared" si="224"/>
        <v>0.9173131812331029</v>
      </c>
      <c r="CA123" s="6">
        <f t="shared" si="225"/>
        <v>91.731318123310288</v>
      </c>
      <c r="CB123">
        <f t="shared" si="226"/>
        <v>13</v>
      </c>
      <c r="CD123" s="581">
        <f t="shared" si="227"/>
        <v>-50</v>
      </c>
      <c r="CE123">
        <f t="shared" si="228"/>
        <v>-50</v>
      </c>
    </row>
    <row r="124" spans="5:83" x14ac:dyDescent="0.2">
      <c r="E124" s="176">
        <v>14</v>
      </c>
      <c r="F124" s="223">
        <f t="shared" si="229"/>
        <v>1.5400000000000002E-2</v>
      </c>
      <c r="G124" s="223">
        <f t="shared" si="168"/>
        <v>2.8000000000000004E-2</v>
      </c>
      <c r="H124" s="223">
        <f t="shared" si="169"/>
        <v>0.36960000000000004</v>
      </c>
      <c r="I124" s="223">
        <f t="shared" si="170"/>
        <v>0.33600000000000008</v>
      </c>
      <c r="J124" s="559">
        <f t="shared" si="171"/>
        <v>10</v>
      </c>
      <c r="K124" s="454">
        <f t="shared" si="172"/>
        <v>24.25</v>
      </c>
      <c r="L124" s="454">
        <f t="shared" si="173"/>
        <v>34.25</v>
      </c>
      <c r="M124" s="454"/>
      <c r="N124" s="223">
        <f t="shared" si="174"/>
        <v>0.70802919708029199</v>
      </c>
      <c r="O124" s="178">
        <f t="shared" si="175"/>
        <v>2.5543839068474097</v>
      </c>
      <c r="P124" s="178">
        <f t="shared" si="176"/>
        <v>4.4332282680822832</v>
      </c>
      <c r="Q124" s="223">
        <f t="shared" si="177"/>
        <v>0.10643266278530873</v>
      </c>
      <c r="R124" s="223">
        <f t="shared" si="178"/>
        <v>0.21286532557061746</v>
      </c>
      <c r="S124" s="223">
        <f t="shared" si="179"/>
        <v>24</v>
      </c>
      <c r="T124" s="223">
        <f t="shared" si="180"/>
        <v>0.20980401519262076</v>
      </c>
      <c r="U124" s="223">
        <f t="shared" si="181"/>
        <v>0.98607887140531747</v>
      </c>
      <c r="V124" s="223">
        <f t="shared" si="182"/>
        <v>0.40663046243518247</v>
      </c>
      <c r="W124" s="203">
        <f t="shared" si="183"/>
        <v>350</v>
      </c>
      <c r="X124" s="454">
        <f t="shared" si="184"/>
        <v>350</v>
      </c>
      <c r="Z124" s="223">
        <f t="shared" si="185"/>
        <v>0.43041288576309544</v>
      </c>
      <c r="AA124" s="179">
        <f t="shared" si="186"/>
        <v>0.83420229405630864</v>
      </c>
      <c r="AB124" s="179">
        <f t="shared" si="187"/>
        <v>3.2913046530372254E-2</v>
      </c>
      <c r="AC124" s="179"/>
      <c r="AD124" s="179">
        <f t="shared" si="188"/>
        <v>0.56206185567010303</v>
      </c>
      <c r="AE124" s="563">
        <f t="shared" si="189"/>
        <v>188.95944544235593</v>
      </c>
      <c r="AF124" s="546">
        <f t="shared" si="190"/>
        <v>2.8524639175257726E-2</v>
      </c>
      <c r="AH124" s="179">
        <f t="shared" si="191"/>
        <v>0.29289457837685084</v>
      </c>
      <c r="AI124" s="179">
        <f t="shared" si="192"/>
        <v>0.29289457837685084</v>
      </c>
      <c r="AJ124" s="179">
        <f t="shared" si="193"/>
        <v>1.1079768259670606</v>
      </c>
      <c r="AL124" s="563">
        <f t="shared" si="194"/>
        <v>15.400000000000002</v>
      </c>
      <c r="AM124" s="472">
        <f t="shared" si="195"/>
        <v>188.95944544235593</v>
      </c>
      <c r="AO124" s="472">
        <f t="shared" si="196"/>
        <v>15.400000000000002</v>
      </c>
      <c r="AP124" s="472">
        <f t="shared" si="197"/>
        <v>188.95944544235593</v>
      </c>
      <c r="AR124" s="6">
        <f t="shared" si="146"/>
        <v>5.2921408488418775</v>
      </c>
      <c r="AS124" s="6">
        <f t="shared" si="230"/>
        <v>1.376604518371199</v>
      </c>
      <c r="AT124" s="6">
        <f t="shared" si="231"/>
        <v>3.9155363304706787</v>
      </c>
      <c r="AU124" s="179">
        <f t="shared" si="232"/>
        <v>0.26012242638486327</v>
      </c>
      <c r="AW124" s="6">
        <f t="shared" si="201"/>
        <v>8.8332123262151951E-2</v>
      </c>
      <c r="AX124" s="6">
        <f t="shared" si="202"/>
        <v>0.32120772095327982</v>
      </c>
      <c r="AY124" s="6">
        <f t="shared" si="203"/>
        <v>0.25389161890209871</v>
      </c>
      <c r="AZ124" s="6"/>
      <c r="BA124" s="179">
        <f t="shared" si="204"/>
        <v>8.6246127395176578E-2</v>
      </c>
      <c r="BB124" s="179">
        <f t="shared" si="205"/>
        <v>0.14545566400173643</v>
      </c>
      <c r="BC124" s="179">
        <f t="shared" si="206"/>
        <v>0.26176622278605627</v>
      </c>
      <c r="BD124" s="179"/>
      <c r="BE124" s="546">
        <f t="shared" si="207"/>
        <v>2.6034380717327595E-3</v>
      </c>
      <c r="BF124" s="546">
        <f t="shared" si="208"/>
        <v>1.4216797505874838E-2</v>
      </c>
      <c r="BG124" s="546">
        <f t="shared" si="209"/>
        <v>2.361993068029449E-3</v>
      </c>
      <c r="BH124" s="546">
        <f t="shared" si="210"/>
        <v>1.1083061973461181E-2</v>
      </c>
      <c r="BI124">
        <f t="shared" si="211"/>
        <v>2.8999999999999998E-3</v>
      </c>
      <c r="BK124" s="472">
        <f t="shared" si="212"/>
        <v>33.165290619098229</v>
      </c>
      <c r="BL124" s="179">
        <f t="shared" si="213"/>
        <v>4.6200000000000008E-3</v>
      </c>
      <c r="BM124" s="179">
        <f t="shared" si="214"/>
        <v>8.4000000000000012E-3</v>
      </c>
      <c r="BN124" s="546"/>
      <c r="BP124" s="472">
        <f t="shared" si="215"/>
        <v>13.020000000000001</v>
      </c>
      <c r="BQ124" s="546">
        <f t="shared" si="216"/>
        <v>1.4876788981330056E-3</v>
      </c>
      <c r="BR124" s="546">
        <f t="shared" si="217"/>
        <v>4.231470038037209E-3</v>
      </c>
      <c r="BS124" s="546">
        <f t="shared" si="218"/>
        <v>6.8521555391679242E-3</v>
      </c>
      <c r="BT124" s="546">
        <f t="shared" si="219"/>
        <v>1.1393833020603599E-3</v>
      </c>
      <c r="BU124" s="546"/>
      <c r="BV124" s="656">
        <f t="shared" si="220"/>
        <v>2.9989070115821748E-3</v>
      </c>
      <c r="BW124" s="472">
        <f t="shared" si="221"/>
        <v>16.709594788980674</v>
      </c>
      <c r="BX124" s="179">
        <f t="shared" si="222"/>
        <v>6.2894885408078902E-2</v>
      </c>
      <c r="BY124" s="6">
        <f t="shared" si="223"/>
        <v>0.70560000000000012</v>
      </c>
      <c r="BZ124" s="179">
        <f t="shared" si="224"/>
        <v>0.91815835524438005</v>
      </c>
      <c r="CA124" s="6">
        <f t="shared" si="225"/>
        <v>91.815835524438</v>
      </c>
      <c r="CB124">
        <f t="shared" si="226"/>
        <v>14.000000000000002</v>
      </c>
      <c r="CD124" s="581">
        <f t="shared" si="227"/>
        <v>-50</v>
      </c>
      <c r="CE124">
        <f t="shared" si="228"/>
        <v>-50</v>
      </c>
    </row>
    <row r="125" spans="5:83" x14ac:dyDescent="0.2">
      <c r="E125" s="176">
        <v>15</v>
      </c>
      <c r="F125" s="223">
        <f t="shared" si="229"/>
        <v>1.6500000000000001E-2</v>
      </c>
      <c r="G125" s="223">
        <f t="shared" si="168"/>
        <v>0.03</v>
      </c>
      <c r="H125" s="223">
        <f t="shared" si="169"/>
        <v>0.39600000000000002</v>
      </c>
      <c r="I125" s="223">
        <f t="shared" si="170"/>
        <v>0.36</v>
      </c>
      <c r="J125" s="559">
        <f t="shared" si="171"/>
        <v>10</v>
      </c>
      <c r="K125" s="454">
        <f t="shared" si="172"/>
        <v>24.25</v>
      </c>
      <c r="L125" s="454">
        <f t="shared" si="173"/>
        <v>34.25</v>
      </c>
      <c r="M125" s="454"/>
      <c r="N125" s="223">
        <f t="shared" si="174"/>
        <v>0.70802919708029199</v>
      </c>
      <c r="O125" s="178">
        <f t="shared" si="175"/>
        <v>2.5543839068474097</v>
      </c>
      <c r="P125" s="178">
        <f t="shared" si="176"/>
        <v>4.4332282680822832</v>
      </c>
      <c r="Q125" s="223">
        <f t="shared" si="177"/>
        <v>0.10643266278530873</v>
      </c>
      <c r="R125" s="223">
        <f t="shared" si="178"/>
        <v>0.21286532557061746</v>
      </c>
      <c r="S125" s="223">
        <f t="shared" si="179"/>
        <v>24</v>
      </c>
      <c r="T125" s="223">
        <f t="shared" si="180"/>
        <v>0.22479001627780792</v>
      </c>
      <c r="U125" s="223">
        <f t="shared" si="181"/>
        <v>1.0565130765056974</v>
      </c>
      <c r="V125" s="223">
        <f t="shared" si="182"/>
        <v>0.43567549546626688</v>
      </c>
      <c r="W125" s="203">
        <f t="shared" si="183"/>
        <v>350</v>
      </c>
      <c r="X125" s="454">
        <f t="shared" si="184"/>
        <v>350</v>
      </c>
      <c r="Z125" s="223">
        <f t="shared" si="185"/>
        <v>0.43041288576309544</v>
      </c>
      <c r="AA125" s="179">
        <f t="shared" si="186"/>
        <v>0.83420229405630864</v>
      </c>
      <c r="AB125" s="179">
        <f t="shared" si="187"/>
        <v>3.2913046530372254E-2</v>
      </c>
      <c r="AC125" s="179"/>
      <c r="AD125" s="179">
        <f t="shared" si="188"/>
        <v>0.56206185567010303</v>
      </c>
      <c r="AE125" s="563">
        <f t="shared" si="189"/>
        <v>202.45654868823843</v>
      </c>
      <c r="AF125" s="546">
        <f t="shared" si="190"/>
        <v>2.8524639175257726E-2</v>
      </c>
      <c r="AH125" s="179">
        <f t="shared" si="191"/>
        <v>0.30317469158394683</v>
      </c>
      <c r="AI125" s="179">
        <f t="shared" si="192"/>
        <v>0.30317469158394683</v>
      </c>
      <c r="AJ125" s="179">
        <f t="shared" si="193"/>
        <v>1.1156894563932791</v>
      </c>
      <c r="AL125" s="563">
        <f t="shared" si="194"/>
        <v>16.5</v>
      </c>
      <c r="AM125" s="472">
        <f t="shared" si="195"/>
        <v>202.45654868823843</v>
      </c>
      <c r="AO125" s="472">
        <f t="shared" si="196"/>
        <v>16.5</v>
      </c>
      <c r="AP125" s="472">
        <f t="shared" si="197"/>
        <v>202.45654868823843</v>
      </c>
      <c r="AR125" s="6">
        <f t="shared" si="146"/>
        <v>4.9393314589190878</v>
      </c>
      <c r="AS125" s="6">
        <f t="shared" si="230"/>
        <v>1.42492105044455</v>
      </c>
      <c r="AT125" s="6">
        <f t="shared" si="231"/>
        <v>3.5144104084745376</v>
      </c>
      <c r="AU125" s="179">
        <f t="shared" si="232"/>
        <v>0.28848459802622289</v>
      </c>
      <c r="AW125" s="6">
        <f t="shared" si="201"/>
        <v>9.7963322218062809E-2</v>
      </c>
      <c r="AX125" s="6">
        <f t="shared" si="202"/>
        <v>0.35623026261113749</v>
      </c>
      <c r="AY125" s="6">
        <f t="shared" si="203"/>
        <v>0.24415903890454682</v>
      </c>
      <c r="AZ125" s="6"/>
      <c r="BA125" s="179">
        <f t="shared" si="204"/>
        <v>9.401423852752204E-2</v>
      </c>
      <c r="BB125" s="179">
        <f t="shared" si="205"/>
        <v>0.14764694655302091</v>
      </c>
      <c r="BC125" s="179">
        <f t="shared" si="206"/>
        <v>0.26570971828651258</v>
      </c>
      <c r="BD125" s="179"/>
      <c r="BE125" s="546">
        <f t="shared" si="207"/>
        <v>3.0935369660684336E-3</v>
      </c>
      <c r="BF125" s="546">
        <f t="shared" si="208"/>
        <v>1.5766910876167235E-2</v>
      </c>
      <c r="BG125" s="546">
        <f t="shared" si="209"/>
        <v>2.5307068586029801E-3</v>
      </c>
      <c r="BH125" s="546">
        <f t="shared" si="210"/>
        <v>1.1874709257279835E-2</v>
      </c>
      <c r="BI125">
        <f t="shared" si="211"/>
        <v>2.8999999999999998E-3</v>
      </c>
      <c r="BK125" s="472">
        <f t="shared" si="212"/>
        <v>36.165863958118486</v>
      </c>
      <c r="BL125" s="179">
        <f t="shared" si="213"/>
        <v>4.9500000000000004E-3</v>
      </c>
      <c r="BM125" s="179">
        <f t="shared" si="214"/>
        <v>8.9999999999999993E-3</v>
      </c>
      <c r="BN125" s="546"/>
      <c r="BP125" s="472">
        <f t="shared" si="215"/>
        <v>13.950000000000001</v>
      </c>
      <c r="BQ125" s="546">
        <f t="shared" si="216"/>
        <v>1.7677354091819621E-3</v>
      </c>
      <c r="BR125" s="546">
        <f t="shared" si="217"/>
        <v>4.3599241652861227E-3</v>
      </c>
      <c r="BS125" s="546">
        <f t="shared" si="218"/>
        <v>7.060165439189788E-3</v>
      </c>
      <c r="BT125" s="546">
        <f t="shared" si="219"/>
        <v>1.4758150611501894E-3</v>
      </c>
      <c r="BU125" s="546"/>
      <c r="BV125" s="656">
        <f t="shared" si="220"/>
        <v>3.4426228449285141E-3</v>
      </c>
      <c r="BW125" s="472">
        <f t="shared" si="221"/>
        <v>18.106262919736576</v>
      </c>
      <c r="BX125" s="179">
        <f t="shared" si="222"/>
        <v>6.822212687785506E-2</v>
      </c>
      <c r="BY125" s="6">
        <f t="shared" si="223"/>
        <v>0.75600000000000001</v>
      </c>
      <c r="BZ125" s="179">
        <f t="shared" si="224"/>
        <v>0.91722846954342296</v>
      </c>
      <c r="CA125" s="6">
        <f t="shared" si="225"/>
        <v>91.722846954342302</v>
      </c>
      <c r="CB125">
        <f t="shared" si="226"/>
        <v>15</v>
      </c>
      <c r="CD125" s="581">
        <f t="shared" si="227"/>
        <v>-50</v>
      </c>
      <c r="CE125">
        <f t="shared" si="228"/>
        <v>-50</v>
      </c>
    </row>
    <row r="126" spans="5:83" x14ac:dyDescent="0.2">
      <c r="E126" s="176">
        <v>16</v>
      </c>
      <c r="F126" s="223">
        <f t="shared" si="229"/>
        <v>1.7600000000000001E-2</v>
      </c>
      <c r="G126" s="223">
        <f t="shared" si="168"/>
        <v>3.2000000000000001E-2</v>
      </c>
      <c r="H126" s="223">
        <f t="shared" si="169"/>
        <v>0.4224</v>
      </c>
      <c r="I126" s="223">
        <f t="shared" si="170"/>
        <v>0.38400000000000001</v>
      </c>
      <c r="J126" s="559">
        <f t="shared" si="171"/>
        <v>10</v>
      </c>
      <c r="K126" s="454">
        <f t="shared" si="172"/>
        <v>24.25</v>
      </c>
      <c r="L126" s="454">
        <f t="shared" si="173"/>
        <v>34.25</v>
      </c>
      <c r="M126" s="454"/>
      <c r="N126" s="223">
        <f t="shared" si="174"/>
        <v>0.70802919708029199</v>
      </c>
      <c r="O126" s="178">
        <f t="shared" si="175"/>
        <v>2.5543839068474097</v>
      </c>
      <c r="P126" s="178">
        <f t="shared" si="176"/>
        <v>4.4332282680822832</v>
      </c>
      <c r="Q126" s="223">
        <f t="shared" si="177"/>
        <v>0.10643266278530873</v>
      </c>
      <c r="R126" s="223">
        <f t="shared" si="178"/>
        <v>0.21286532557061746</v>
      </c>
      <c r="S126" s="223">
        <f t="shared" si="179"/>
        <v>24</v>
      </c>
      <c r="T126" s="223">
        <f t="shared" si="180"/>
        <v>0.23977601736299511</v>
      </c>
      <c r="U126" s="223">
        <f t="shared" si="181"/>
        <v>1.126947281606077</v>
      </c>
      <c r="V126" s="223">
        <f t="shared" si="182"/>
        <v>0.46472052849735135</v>
      </c>
      <c r="W126" s="203">
        <f t="shared" si="183"/>
        <v>350</v>
      </c>
      <c r="X126" s="454">
        <f t="shared" si="184"/>
        <v>350</v>
      </c>
      <c r="Z126" s="223">
        <f t="shared" si="185"/>
        <v>0.43041288576309544</v>
      </c>
      <c r="AA126" s="179">
        <f t="shared" si="186"/>
        <v>0.83420229405630864</v>
      </c>
      <c r="AB126" s="179">
        <f t="shared" si="187"/>
        <v>3.2913046530372254E-2</v>
      </c>
      <c r="AC126" s="179"/>
      <c r="AD126" s="179">
        <f t="shared" si="188"/>
        <v>0.56206185567010303</v>
      </c>
      <c r="AE126" s="563">
        <f t="shared" si="189"/>
        <v>215.95365193412101</v>
      </c>
      <c r="AF126" s="546">
        <f t="shared" si="190"/>
        <v>2.8524639175257726E-2</v>
      </c>
      <c r="AH126" s="179">
        <f t="shared" si="191"/>
        <v>0.3131174750656523</v>
      </c>
      <c r="AI126" s="179">
        <f t="shared" si="192"/>
        <v>0.3131174750656523</v>
      </c>
      <c r="AJ126" s="179">
        <f t="shared" si="193"/>
        <v>1.1234020868194978</v>
      </c>
      <c r="AL126" s="563">
        <f t="shared" si="194"/>
        <v>17.600000000000001</v>
      </c>
      <c r="AM126" s="472">
        <f t="shared" si="195"/>
        <v>215.95365193412101</v>
      </c>
      <c r="AO126" s="472">
        <f t="shared" si="196"/>
        <v>17.600000000000001</v>
      </c>
      <c r="AP126" s="472">
        <f t="shared" si="197"/>
        <v>215.95365193412101</v>
      </c>
      <c r="AR126" s="6">
        <f t="shared" si="146"/>
        <v>4.6306232427366449</v>
      </c>
      <c r="AS126" s="6">
        <f t="shared" si="230"/>
        <v>1.4716521328085657</v>
      </c>
      <c r="AT126" s="6">
        <f t="shared" si="231"/>
        <v>3.1589711099280793</v>
      </c>
      <c r="AU126" s="179">
        <f t="shared" si="232"/>
        <v>0.31780865245664774</v>
      </c>
      <c r="AW126" s="6">
        <f t="shared" si="201"/>
        <v>0.10792115640596149</v>
      </c>
      <c r="AX126" s="6">
        <f t="shared" si="202"/>
        <v>0.39244056874895084</v>
      </c>
      <c r="AY126" s="6">
        <f t="shared" si="203"/>
        <v>0.23409638540940711</v>
      </c>
      <c r="AZ126" s="6"/>
      <c r="BA126" s="179">
        <f t="shared" si="204"/>
        <v>0.10191298856246024</v>
      </c>
      <c r="BB126" s="179">
        <f t="shared" si="205"/>
        <v>0.14931374292441285</v>
      </c>
      <c r="BC126" s="179">
        <f t="shared" si="206"/>
        <v>0.2687093332777003</v>
      </c>
      <c r="BD126" s="179"/>
      <c r="BE126" s="546">
        <f t="shared" si="207"/>
        <v>3.6351900332062528E-3</v>
      </c>
      <c r="BF126" s="546">
        <f t="shared" si="208"/>
        <v>1.73695952340003E-2</v>
      </c>
      <c r="BG126" s="546">
        <f t="shared" si="209"/>
        <v>2.6994206491765126E-3</v>
      </c>
      <c r="BH126" s="546">
        <f t="shared" si="210"/>
        <v>1.2666356541098491E-2</v>
      </c>
      <c r="BI126">
        <f t="shared" si="211"/>
        <v>2.8999999999999998E-3</v>
      </c>
      <c r="BK126" s="472">
        <f t="shared" si="212"/>
        <v>39.270562457481553</v>
      </c>
      <c r="BL126" s="179">
        <f t="shared" si="213"/>
        <v>5.28E-3</v>
      </c>
      <c r="BM126" s="179">
        <f t="shared" si="214"/>
        <v>9.5999999999999992E-3</v>
      </c>
      <c r="BN126" s="546"/>
      <c r="BP126" s="472">
        <f t="shared" si="215"/>
        <v>14.879999999999999</v>
      </c>
      <c r="BQ126" s="546">
        <f t="shared" si="216"/>
        <v>2.0772514475464305E-3</v>
      </c>
      <c r="BR126" s="546">
        <f t="shared" si="217"/>
        <v>4.4589187652195302E-3</v>
      </c>
      <c r="BS126" s="546">
        <f t="shared" si="218"/>
        <v>7.2204705790546225E-3</v>
      </c>
      <c r="BT126" s="546">
        <f t="shared" si="219"/>
        <v>1.8799212266954457E-3</v>
      </c>
      <c r="BU126" s="546"/>
      <c r="BV126" s="656">
        <f t="shared" si="220"/>
        <v>3.916939770229777E-3</v>
      </c>
      <c r="BW126" s="472">
        <f t="shared" si="221"/>
        <v>19.553501788745805</v>
      </c>
      <c r="BX126" s="179">
        <f t="shared" si="222"/>
        <v>7.3704064246227358E-2</v>
      </c>
      <c r="BY126" s="6">
        <f t="shared" si="223"/>
        <v>0.80640000000000001</v>
      </c>
      <c r="BZ126" s="179">
        <f t="shared" si="224"/>
        <v>0.91625528475504558</v>
      </c>
      <c r="CA126" s="6">
        <f t="shared" si="225"/>
        <v>91.625528475504552</v>
      </c>
      <c r="CB126">
        <f t="shared" si="226"/>
        <v>16</v>
      </c>
      <c r="CD126" s="581">
        <f t="shared" si="227"/>
        <v>-50</v>
      </c>
      <c r="CE126">
        <f t="shared" si="228"/>
        <v>-50</v>
      </c>
    </row>
    <row r="127" spans="5:83" x14ac:dyDescent="0.2">
      <c r="E127" s="176">
        <v>17</v>
      </c>
      <c r="F127" s="223">
        <f t="shared" si="229"/>
        <v>1.8700000000000001E-2</v>
      </c>
      <c r="G127" s="223">
        <f t="shared" si="168"/>
        <v>3.4000000000000002E-2</v>
      </c>
      <c r="H127" s="223">
        <f t="shared" si="169"/>
        <v>0.44880000000000003</v>
      </c>
      <c r="I127" s="223">
        <f t="shared" si="170"/>
        <v>0.40800000000000003</v>
      </c>
      <c r="J127" s="559">
        <f t="shared" si="171"/>
        <v>10</v>
      </c>
      <c r="K127" s="454">
        <f t="shared" si="172"/>
        <v>24.25</v>
      </c>
      <c r="L127" s="454">
        <f t="shared" si="173"/>
        <v>34.25</v>
      </c>
      <c r="M127" s="454"/>
      <c r="N127" s="223">
        <f t="shared" si="174"/>
        <v>0.70802919708029199</v>
      </c>
      <c r="O127" s="178">
        <f t="shared" si="175"/>
        <v>2.5543839068474097</v>
      </c>
      <c r="P127" s="178">
        <f t="shared" si="176"/>
        <v>4.4332282680822832</v>
      </c>
      <c r="Q127" s="223">
        <f t="shared" si="177"/>
        <v>0.10643266278530873</v>
      </c>
      <c r="R127" s="223">
        <f t="shared" si="178"/>
        <v>0.21286532557061746</v>
      </c>
      <c r="S127" s="223">
        <f t="shared" si="179"/>
        <v>24</v>
      </c>
      <c r="T127" s="223">
        <f t="shared" si="180"/>
        <v>0.2547620184481823</v>
      </c>
      <c r="U127" s="223">
        <f t="shared" si="181"/>
        <v>1.1973814867064567</v>
      </c>
      <c r="V127" s="223">
        <f t="shared" si="182"/>
        <v>0.49376556152843576</v>
      </c>
      <c r="W127" s="203">
        <f t="shared" si="183"/>
        <v>350</v>
      </c>
      <c r="X127" s="454">
        <f t="shared" si="184"/>
        <v>350</v>
      </c>
      <c r="Z127" s="223">
        <f t="shared" si="185"/>
        <v>0.43041288576309544</v>
      </c>
      <c r="AA127" s="179">
        <f t="shared" si="186"/>
        <v>0.83420229405630864</v>
      </c>
      <c r="AB127" s="179">
        <f t="shared" si="187"/>
        <v>3.2913046530372254E-2</v>
      </c>
      <c r="AC127" s="179"/>
      <c r="AD127" s="179">
        <f t="shared" si="188"/>
        <v>0.56206185567010303</v>
      </c>
      <c r="AE127" s="563">
        <f t="shared" si="189"/>
        <v>229.45075518000363</v>
      </c>
      <c r="AF127" s="546">
        <f t="shared" si="190"/>
        <v>2.8524639175257726E-2</v>
      </c>
      <c r="AH127" s="179">
        <f t="shared" si="191"/>
        <v>0.3227541057305971</v>
      </c>
      <c r="AI127" s="179">
        <f t="shared" si="192"/>
        <v>0.3227541057305971</v>
      </c>
      <c r="AJ127" s="179">
        <f t="shared" si="193"/>
        <v>1.1311147172457163</v>
      </c>
      <c r="AL127" s="563">
        <f t="shared" si="194"/>
        <v>18.700000000000003</v>
      </c>
      <c r="AM127" s="472">
        <f t="shared" si="195"/>
        <v>229.45075518000363</v>
      </c>
      <c r="AO127" s="472">
        <f t="shared" si="196"/>
        <v>18.700000000000003</v>
      </c>
      <c r="AP127" s="472">
        <f t="shared" si="197"/>
        <v>229.45075518000363</v>
      </c>
      <c r="AR127" s="6">
        <f t="shared" si="146"/>
        <v>4.3582336402227231</v>
      </c>
      <c r="AS127" s="6">
        <f t="shared" si="230"/>
        <v>1.5169442969338063</v>
      </c>
      <c r="AT127" s="6">
        <f t="shared" si="231"/>
        <v>2.841289343288917</v>
      </c>
      <c r="AU127" s="179">
        <f t="shared" si="232"/>
        <v>0.34806401449746149</v>
      </c>
      <c r="AW127" s="6">
        <f t="shared" si="201"/>
        <v>0.11819524313609241</v>
      </c>
      <c r="AX127" s="6">
        <f t="shared" si="202"/>
        <v>0.42980088413124512</v>
      </c>
      <c r="AY127" s="6">
        <f t="shared" si="203"/>
        <v>0.22371415039790632</v>
      </c>
      <c r="AZ127" s="6"/>
      <c r="BA127" s="179">
        <f t="shared" si="204"/>
        <v>0.10993619732428724</v>
      </c>
      <c r="BB127" s="179">
        <f t="shared" si="205"/>
        <v>0.15045742511818594</v>
      </c>
      <c r="BC127" s="179">
        <f t="shared" si="206"/>
        <v>0.27076753685462035</v>
      </c>
      <c r="BD127" s="179"/>
      <c r="BE127" s="546">
        <f t="shared" si="207"/>
        <v>4.2300886187436161E-3</v>
      </c>
      <c r="BF127" s="546">
        <f t="shared" si="208"/>
        <v>1.9023179515752216E-2</v>
      </c>
      <c r="BG127" s="546">
        <f t="shared" si="209"/>
        <v>2.8681344397500455E-3</v>
      </c>
      <c r="BH127" s="546">
        <f t="shared" si="210"/>
        <v>1.345800382491715E-2</v>
      </c>
      <c r="BI127">
        <f t="shared" si="211"/>
        <v>2.8999999999999998E-3</v>
      </c>
      <c r="BK127" s="472">
        <f t="shared" si="212"/>
        <v>42.479406399163025</v>
      </c>
      <c r="BL127" s="179">
        <f t="shared" si="213"/>
        <v>5.6100000000000004E-3</v>
      </c>
      <c r="BM127" s="179">
        <f t="shared" si="214"/>
        <v>1.0200000000000001E-2</v>
      </c>
      <c r="BN127" s="546"/>
      <c r="BP127" s="472">
        <f t="shared" si="215"/>
        <v>15.81</v>
      </c>
      <c r="BQ127" s="546">
        <f t="shared" si="216"/>
        <v>2.4171934964249239E-3</v>
      </c>
      <c r="BR127" s="546">
        <f t="shared" si="217"/>
        <v>4.5274873546389061E-3</v>
      </c>
      <c r="BS127" s="546">
        <f t="shared" si="218"/>
        <v>7.3315059014318193E-3</v>
      </c>
      <c r="BT127" s="546">
        <f t="shared" si="219"/>
        <v>2.3597889972175367E-3</v>
      </c>
      <c r="BU127" s="546"/>
      <c r="BV127" s="656">
        <f t="shared" si="220"/>
        <v>4.4218577874859588E-3</v>
      </c>
      <c r="BW127" s="472">
        <f t="shared" si="221"/>
        <v>21.057833537199144</v>
      </c>
      <c r="BX127" s="179">
        <f t="shared" si="222"/>
        <v>7.9347239936362168E-2</v>
      </c>
      <c r="BY127" s="6">
        <f t="shared" si="223"/>
        <v>0.85680000000000001</v>
      </c>
      <c r="BZ127" s="179">
        <f t="shared" si="224"/>
        <v>0.91524064105369141</v>
      </c>
      <c r="CA127" s="6">
        <f t="shared" si="225"/>
        <v>91.524064105369135</v>
      </c>
      <c r="CB127">
        <f t="shared" si="226"/>
        <v>17</v>
      </c>
      <c r="CD127" s="581">
        <f t="shared" si="227"/>
        <v>-50</v>
      </c>
      <c r="CE127">
        <f t="shared" si="228"/>
        <v>-50</v>
      </c>
    </row>
    <row r="128" spans="5:83" x14ac:dyDescent="0.2">
      <c r="E128" s="176">
        <v>18</v>
      </c>
      <c r="F128" s="223">
        <f t="shared" si="229"/>
        <v>1.9799999999999998E-2</v>
      </c>
      <c r="G128" s="223">
        <f t="shared" si="168"/>
        <v>3.5999999999999997E-2</v>
      </c>
      <c r="H128" s="223">
        <f t="shared" si="169"/>
        <v>0.47519999999999996</v>
      </c>
      <c r="I128" s="223">
        <f t="shared" si="170"/>
        <v>0.43199999999999994</v>
      </c>
      <c r="J128" s="559">
        <f t="shared" si="171"/>
        <v>10</v>
      </c>
      <c r="K128" s="454">
        <f t="shared" si="172"/>
        <v>24.25</v>
      </c>
      <c r="L128" s="454">
        <f t="shared" si="173"/>
        <v>34.25</v>
      </c>
      <c r="M128" s="454"/>
      <c r="N128" s="223">
        <f t="shared" si="174"/>
        <v>0.70802919708029199</v>
      </c>
      <c r="O128" s="178">
        <f t="shared" si="175"/>
        <v>2.5543839068474097</v>
      </c>
      <c r="P128" s="178">
        <f t="shared" si="176"/>
        <v>4.4332282680822832</v>
      </c>
      <c r="Q128" s="223">
        <f t="shared" si="177"/>
        <v>0.10643266278530873</v>
      </c>
      <c r="R128" s="223">
        <f t="shared" si="178"/>
        <v>0.21286532557061746</v>
      </c>
      <c r="S128" s="223">
        <f t="shared" si="179"/>
        <v>24</v>
      </c>
      <c r="T128" s="223">
        <f t="shared" si="180"/>
        <v>0.26974801953336947</v>
      </c>
      <c r="U128" s="223">
        <f t="shared" si="181"/>
        <v>1.2678156918068364</v>
      </c>
      <c r="V128" s="223">
        <f t="shared" si="182"/>
        <v>0.52281059455952017</v>
      </c>
      <c r="W128" s="203">
        <f t="shared" si="183"/>
        <v>350</v>
      </c>
      <c r="X128" s="454">
        <f t="shared" si="184"/>
        <v>350</v>
      </c>
      <c r="Z128" s="223">
        <f t="shared" si="185"/>
        <v>0.43041288576309544</v>
      </c>
      <c r="AA128" s="179">
        <f t="shared" si="186"/>
        <v>0.83420229405630864</v>
      </c>
      <c r="AB128" s="179">
        <f t="shared" si="187"/>
        <v>3.2913046530372254E-2</v>
      </c>
      <c r="AC128" s="179"/>
      <c r="AD128" s="179">
        <f t="shared" si="188"/>
        <v>0.56206185567010303</v>
      </c>
      <c r="AE128" s="563">
        <f t="shared" si="189"/>
        <v>242.94785842588612</v>
      </c>
      <c r="AF128" s="546">
        <f t="shared" si="190"/>
        <v>2.8524639175257726E-2</v>
      </c>
      <c r="AH128" s="179">
        <f t="shared" si="191"/>
        <v>0.33211123489039862</v>
      </c>
      <c r="AI128" s="179">
        <f t="shared" si="192"/>
        <v>0.33211123489039862</v>
      </c>
      <c r="AJ128" s="179">
        <f t="shared" si="193"/>
        <v>1.1388273476719348</v>
      </c>
      <c r="AL128" s="563">
        <f t="shared" si="194"/>
        <v>19.799999999999997</v>
      </c>
      <c r="AM128" s="472">
        <f t="shared" si="195"/>
        <v>242.94785842588612</v>
      </c>
      <c r="AO128" s="472">
        <f t="shared" si="196"/>
        <v>19.799999999999997</v>
      </c>
      <c r="AP128" s="472">
        <f t="shared" si="197"/>
        <v>242.94785842588612</v>
      </c>
      <c r="AR128" s="6">
        <f t="shared" si="146"/>
        <v>4.1161095490992397</v>
      </c>
      <c r="AS128" s="6">
        <f t="shared" si="230"/>
        <v>1.5609228039848735</v>
      </c>
      <c r="AT128" s="6">
        <f t="shared" si="231"/>
        <v>2.5551867451143662</v>
      </c>
      <c r="AU128" s="179">
        <f t="shared" si="232"/>
        <v>0.37922285239625425</v>
      </c>
      <c r="AW128" s="6">
        <f t="shared" si="201"/>
        <v>0.12877613132875204</v>
      </c>
      <c r="AX128" s="6">
        <f t="shared" si="202"/>
        <v>0.46827684119546203</v>
      </c>
      <c r="AY128" s="6">
        <f t="shared" si="203"/>
        <v>0.21302188443479764</v>
      </c>
      <c r="AZ128" s="6"/>
      <c r="BA128" s="179">
        <f t="shared" si="204"/>
        <v>0.11807832677531482</v>
      </c>
      <c r="BB128" s="179">
        <f t="shared" si="205"/>
        <v>0.15107437305099261</v>
      </c>
      <c r="BC128" s="179">
        <f t="shared" si="206"/>
        <v>0.27187781421050622</v>
      </c>
      <c r="BD128" s="179"/>
      <c r="BE128" s="546">
        <f t="shared" si="207"/>
        <v>4.8798719389203096E-3</v>
      </c>
      <c r="BF128" s="546">
        <f t="shared" si="208"/>
        <v>2.072614259772081E-2</v>
      </c>
      <c r="BG128" s="546">
        <f t="shared" si="209"/>
        <v>3.0368482303235766E-3</v>
      </c>
      <c r="BH128" s="546">
        <f t="shared" si="210"/>
        <v>1.4249651108735802E-2</v>
      </c>
      <c r="BI128">
        <f t="shared" si="211"/>
        <v>2.8999999999999998E-3</v>
      </c>
      <c r="BK128" s="472">
        <f t="shared" si="212"/>
        <v>45.7925138757005</v>
      </c>
      <c r="BL128" s="179">
        <f t="shared" si="213"/>
        <v>5.9399999999999991E-3</v>
      </c>
      <c r="BM128" s="179">
        <f t="shared" si="214"/>
        <v>1.0799999999999999E-2</v>
      </c>
      <c r="BN128" s="546"/>
      <c r="BP128" s="472">
        <f t="shared" si="215"/>
        <v>16.739999999999998</v>
      </c>
      <c r="BQ128" s="546">
        <f t="shared" si="216"/>
        <v>2.7884982508116062E-3</v>
      </c>
      <c r="BR128" s="546">
        <f t="shared" si="217"/>
        <v>4.5646932385500971E-3</v>
      </c>
      <c r="BS128" s="546">
        <f t="shared" si="218"/>
        <v>7.3917545859882548E-3</v>
      </c>
      <c r="BT128" s="546">
        <f t="shared" si="219"/>
        <v>2.9238939107074568E-3</v>
      </c>
      <c r="BU128" s="546"/>
      <c r="BV128" s="656">
        <f t="shared" si="220"/>
        <v>4.9573768966970598E-3</v>
      </c>
      <c r="BW128" s="472">
        <f t="shared" si="221"/>
        <v>22.626216882754473</v>
      </c>
      <c r="BX128" s="179">
        <f t="shared" si="222"/>
        <v>8.5158730758454967E-2</v>
      </c>
      <c r="BY128" s="6">
        <f t="shared" si="223"/>
        <v>0.9071999999999999</v>
      </c>
      <c r="BZ128" s="179">
        <f t="shared" si="224"/>
        <v>0.91418553783129564</v>
      </c>
      <c r="CA128" s="6">
        <f t="shared" si="225"/>
        <v>91.418553783129568</v>
      </c>
      <c r="CB128">
        <f t="shared" si="226"/>
        <v>18</v>
      </c>
      <c r="CD128" s="581">
        <f t="shared" si="227"/>
        <v>-50</v>
      </c>
      <c r="CE128">
        <f t="shared" si="228"/>
        <v>-50</v>
      </c>
    </row>
    <row r="129" spans="5:83" x14ac:dyDescent="0.2">
      <c r="E129" s="176">
        <v>19</v>
      </c>
      <c r="F129" s="223">
        <f t="shared" si="229"/>
        <v>2.0900000000000002E-2</v>
      </c>
      <c r="G129" s="223">
        <f t="shared" si="168"/>
        <v>3.8000000000000006E-2</v>
      </c>
      <c r="H129" s="223">
        <f t="shared" si="169"/>
        <v>0.50160000000000005</v>
      </c>
      <c r="I129" s="223">
        <f t="shared" si="170"/>
        <v>0.45600000000000007</v>
      </c>
      <c r="J129" s="559">
        <f t="shared" si="171"/>
        <v>10</v>
      </c>
      <c r="K129" s="454">
        <f t="shared" si="172"/>
        <v>24.25</v>
      </c>
      <c r="L129" s="454">
        <f t="shared" si="173"/>
        <v>34.25</v>
      </c>
      <c r="M129" s="454"/>
      <c r="N129" s="223">
        <f t="shared" si="174"/>
        <v>0.70802919708029199</v>
      </c>
      <c r="O129" s="178">
        <f t="shared" si="175"/>
        <v>2.5543839068474097</v>
      </c>
      <c r="P129" s="178">
        <f t="shared" si="176"/>
        <v>4.4332282680822832</v>
      </c>
      <c r="Q129" s="223">
        <f t="shared" si="177"/>
        <v>0.10643266278530873</v>
      </c>
      <c r="R129" s="223">
        <f t="shared" si="178"/>
        <v>0.21286532557061746</v>
      </c>
      <c r="S129" s="223">
        <f t="shared" si="179"/>
        <v>24</v>
      </c>
      <c r="T129" s="223">
        <f t="shared" si="180"/>
        <v>0.28473402061855674</v>
      </c>
      <c r="U129" s="223">
        <f t="shared" si="181"/>
        <v>1.3382498969072167</v>
      </c>
      <c r="V129" s="223">
        <f t="shared" si="182"/>
        <v>0.5518556275906048</v>
      </c>
      <c r="W129" s="203">
        <f t="shared" si="183"/>
        <v>350</v>
      </c>
      <c r="X129" s="454">
        <f t="shared" si="184"/>
        <v>350</v>
      </c>
      <c r="Z129" s="223">
        <f t="shared" si="185"/>
        <v>0.43041288576309544</v>
      </c>
      <c r="AA129" s="179">
        <f t="shared" si="186"/>
        <v>0.83420229405630864</v>
      </c>
      <c r="AB129" s="179">
        <f t="shared" si="187"/>
        <v>3.2913046530372254E-2</v>
      </c>
      <c r="AC129" s="179"/>
      <c r="AD129" s="179">
        <f t="shared" si="188"/>
        <v>0.56206185567010303</v>
      </c>
      <c r="AE129" s="563">
        <f t="shared" si="189"/>
        <v>256.44496167176874</v>
      </c>
      <c r="AF129" s="546">
        <f t="shared" si="190"/>
        <v>2.8524639175257726E-2</v>
      </c>
      <c r="AH129" s="179">
        <f t="shared" si="191"/>
        <v>0.34121185781694874</v>
      </c>
      <c r="AI129" s="179">
        <f t="shared" si="192"/>
        <v>0.34121185781694874</v>
      </c>
      <c r="AJ129" s="179">
        <f t="shared" si="193"/>
        <v>1.1465399780981536</v>
      </c>
      <c r="AL129" s="563">
        <f t="shared" si="194"/>
        <v>20.900000000000002</v>
      </c>
      <c r="AM129" s="472">
        <f t="shared" si="195"/>
        <v>256.44496167176874</v>
      </c>
      <c r="AO129" s="472">
        <f t="shared" si="196"/>
        <v>20.900000000000002</v>
      </c>
      <c r="AP129" s="472">
        <f t="shared" si="197"/>
        <v>256.44496167176874</v>
      </c>
      <c r="AR129" s="6">
        <f t="shared" si="146"/>
        <v>3.8994722044098054</v>
      </c>
      <c r="AS129" s="6">
        <f t="shared" si="230"/>
        <v>1.603695731739659</v>
      </c>
      <c r="AT129" s="6">
        <f t="shared" si="231"/>
        <v>2.2957764726701466</v>
      </c>
      <c r="AU129" s="179">
        <f t="shared" si="232"/>
        <v>0.41125969045915595</v>
      </c>
      <c r="AW129" s="6">
        <f t="shared" si="201"/>
        <v>0.13965516997232863</v>
      </c>
      <c r="AX129" s="6">
        <f t="shared" si="202"/>
        <v>0.50783698171755876</v>
      </c>
      <c r="AY129" s="6">
        <f t="shared" si="203"/>
        <v>0.20202832959497288</v>
      </c>
      <c r="AZ129" s="6"/>
      <c r="BA129" s="179">
        <f t="shared" si="204"/>
        <v>0.12633438198798952</v>
      </c>
      <c r="BB129" s="179">
        <f t="shared" si="205"/>
        <v>0.15115599414515665</v>
      </c>
      <c r="BC129" s="179">
        <f t="shared" si="206"/>
        <v>0.27202470189388123</v>
      </c>
      <c r="BD129" s="179"/>
      <c r="BE129" s="546">
        <f t="shared" si="207"/>
        <v>5.5861316253005373E-3</v>
      </c>
      <c r="BF129" s="546">
        <f t="shared" si="208"/>
        <v>2.2477092124828867E-2</v>
      </c>
      <c r="BG129" s="546">
        <f t="shared" si="209"/>
        <v>3.2055620208971095E-3</v>
      </c>
      <c r="BH129" s="546">
        <f t="shared" si="210"/>
        <v>1.5041298392554461E-2</v>
      </c>
      <c r="BI129">
        <f t="shared" si="211"/>
        <v>2.8999999999999998E-3</v>
      </c>
      <c r="BK129" s="472">
        <f t="shared" si="212"/>
        <v>49.210084163580973</v>
      </c>
      <c r="BL129" s="179">
        <f t="shared" si="213"/>
        <v>6.2700000000000004E-3</v>
      </c>
      <c r="BM129" s="179">
        <f t="shared" si="214"/>
        <v>1.1400000000000002E-2</v>
      </c>
      <c r="BN129" s="546"/>
      <c r="BP129" s="472">
        <f t="shared" si="215"/>
        <v>17.670000000000002</v>
      </c>
      <c r="BQ129" s="546">
        <f t="shared" si="216"/>
        <v>3.1920752144574504E-3</v>
      </c>
      <c r="BR129" s="546">
        <f t="shared" si="217"/>
        <v>4.569626913202127E-3</v>
      </c>
      <c r="BS129" s="546">
        <f t="shared" si="218"/>
        <v>7.3997438440454952E-3</v>
      </c>
      <c r="BT129" s="546">
        <f t="shared" si="219"/>
        <v>3.5810939943502641E-3</v>
      </c>
      <c r="BU129" s="546"/>
      <c r="BV129" s="656">
        <f t="shared" si="220"/>
        <v>5.5234970978630844E-3</v>
      </c>
      <c r="BW129" s="472">
        <f t="shared" si="221"/>
        <v>24.266037063918422</v>
      </c>
      <c r="BX129" s="179">
        <f t="shared" si="222"/>
        <v>9.1146121227499405E-2</v>
      </c>
      <c r="BY129" s="6">
        <f t="shared" si="223"/>
        <v>0.95760000000000012</v>
      </c>
      <c r="BZ129" s="179">
        <f t="shared" si="224"/>
        <v>0.91309038538248144</v>
      </c>
      <c r="CA129" s="6">
        <f t="shared" si="225"/>
        <v>91.309038538248146</v>
      </c>
      <c r="CB129">
        <f t="shared" si="226"/>
        <v>19.000000000000004</v>
      </c>
      <c r="CD129" s="581">
        <f t="shared" si="227"/>
        <v>-50</v>
      </c>
      <c r="CE129">
        <f t="shared" si="228"/>
        <v>-50</v>
      </c>
    </row>
    <row r="130" spans="5:83" x14ac:dyDescent="0.2">
      <c r="E130" s="176">
        <v>20</v>
      </c>
      <c r="F130" s="223">
        <f t="shared" si="229"/>
        <v>2.2000000000000002E-2</v>
      </c>
      <c r="G130" s="223">
        <f t="shared" si="168"/>
        <v>4.0000000000000008E-2</v>
      </c>
      <c r="H130" s="223">
        <f t="shared" si="169"/>
        <v>0.52800000000000002</v>
      </c>
      <c r="I130" s="223">
        <f t="shared" si="170"/>
        <v>0.48000000000000009</v>
      </c>
      <c r="J130" s="559">
        <f t="shared" si="171"/>
        <v>10</v>
      </c>
      <c r="K130" s="454">
        <f t="shared" si="172"/>
        <v>24.25</v>
      </c>
      <c r="L130" s="454">
        <f t="shared" si="173"/>
        <v>34.25</v>
      </c>
      <c r="M130" s="454"/>
      <c r="N130" s="223">
        <f t="shared" si="174"/>
        <v>0.70802919708029199</v>
      </c>
      <c r="O130" s="178">
        <f t="shared" si="175"/>
        <v>2.5543839068474097</v>
      </c>
      <c r="P130" s="178">
        <f t="shared" si="176"/>
        <v>4.4332282680822832</v>
      </c>
      <c r="Q130" s="223">
        <f t="shared" si="177"/>
        <v>0.10643266278530873</v>
      </c>
      <c r="R130" s="223">
        <f t="shared" si="178"/>
        <v>0.21286532557061746</v>
      </c>
      <c r="S130" s="223">
        <f t="shared" si="179"/>
        <v>24</v>
      </c>
      <c r="T130" s="223">
        <f t="shared" si="180"/>
        <v>0.2997200217037439</v>
      </c>
      <c r="U130" s="223">
        <f t="shared" si="181"/>
        <v>1.4086841020075962</v>
      </c>
      <c r="V130" s="223">
        <f t="shared" si="182"/>
        <v>0.5809006606216891</v>
      </c>
      <c r="W130" s="203">
        <f t="shared" si="183"/>
        <v>350</v>
      </c>
      <c r="X130" s="454">
        <f t="shared" si="184"/>
        <v>350</v>
      </c>
      <c r="Z130" s="223">
        <f t="shared" si="185"/>
        <v>0.43041288576309544</v>
      </c>
      <c r="AA130" s="179">
        <f t="shared" si="186"/>
        <v>0.83420229405630864</v>
      </c>
      <c r="AB130" s="179">
        <f t="shared" si="187"/>
        <v>3.2913046530372254E-2</v>
      </c>
      <c r="AC130" s="179"/>
      <c r="AD130" s="179">
        <f t="shared" si="188"/>
        <v>0.56206185567010303</v>
      </c>
      <c r="AE130" s="563">
        <f t="shared" si="189"/>
        <v>269.94206491765129</v>
      </c>
      <c r="AF130" s="546">
        <f t="shared" si="190"/>
        <v>2.8524639175257726E-2</v>
      </c>
      <c r="AH130" s="179">
        <f t="shared" si="191"/>
        <v>0.35007597959494696</v>
      </c>
      <c r="AI130" s="179">
        <f t="shared" si="192"/>
        <v>0.35007597959494696</v>
      </c>
      <c r="AJ130" s="179">
        <f t="shared" si="193"/>
        <v>1.1542526085243723</v>
      </c>
      <c r="AL130" s="563">
        <f t="shared" si="194"/>
        <v>22.000000000000004</v>
      </c>
      <c r="AM130" s="472">
        <f t="shared" si="195"/>
        <v>269.94206491765129</v>
      </c>
      <c r="AO130" s="472">
        <f t="shared" si="196"/>
        <v>22.000000000000004</v>
      </c>
      <c r="AP130" s="472">
        <f t="shared" si="197"/>
        <v>269.94206491765129</v>
      </c>
      <c r="AR130" s="6">
        <f t="shared" si="146"/>
        <v>3.7044985941893152</v>
      </c>
      <c r="AS130" s="6">
        <f t="shared" si="230"/>
        <v>1.6453571040962505</v>
      </c>
      <c r="AT130" s="6">
        <f t="shared" si="231"/>
        <v>2.0591414900930647</v>
      </c>
      <c r="AU130" s="179">
        <f t="shared" si="232"/>
        <v>0.44415109420666876</v>
      </c>
      <c r="AW130" s="6">
        <f t="shared" si="201"/>
        <v>0.15082440120882298</v>
      </c>
      <c r="AX130" s="6">
        <f t="shared" si="202"/>
        <v>0.54845236803208364</v>
      </c>
      <c r="AY130" s="6">
        <f t="shared" si="203"/>
        <v>0.19074152750335757</v>
      </c>
      <c r="AZ130" s="6"/>
      <c r="BA130" s="179">
        <f t="shared" si="204"/>
        <v>0.13469983184661544</v>
      </c>
      <c r="BB130" s="179">
        <f t="shared" si="205"/>
        <v>0.15068848373475913</v>
      </c>
      <c r="BC130" s="179">
        <f t="shared" si="206"/>
        <v>0.27118335662841625</v>
      </c>
      <c r="BD130" s="179"/>
      <c r="BE130" s="546">
        <f t="shared" si="207"/>
        <v>6.3504156448272661E-3</v>
      </c>
      <c r="BF130" s="546">
        <f t="shared" si="208"/>
        <v>2.427474730305065E-2</v>
      </c>
      <c r="BG130" s="546">
        <f t="shared" si="209"/>
        <v>3.374275811470641E-3</v>
      </c>
      <c r="BH130" s="546">
        <f t="shared" si="210"/>
        <v>1.5832945676373118E-2</v>
      </c>
      <c r="BI130">
        <f t="shared" si="211"/>
        <v>2.8999999999999998E-3</v>
      </c>
      <c r="BK130" s="472">
        <f t="shared" si="212"/>
        <v>52.732384435721677</v>
      </c>
      <c r="BL130" s="179">
        <f t="shared" si="213"/>
        <v>6.6000000000000008E-3</v>
      </c>
      <c r="BM130" s="179">
        <f t="shared" si="214"/>
        <v>1.2000000000000002E-2</v>
      </c>
      <c r="BN130" s="546"/>
      <c r="BP130" s="472">
        <f t="shared" si="215"/>
        <v>18.600000000000001</v>
      </c>
      <c r="BQ130" s="546">
        <f t="shared" si="216"/>
        <v>3.6288089399012951E-3</v>
      </c>
      <c r="BR130" s="546">
        <f t="shared" si="217"/>
        <v>4.5414038260561534E-3</v>
      </c>
      <c r="BS130" s="546">
        <f t="shared" si="218"/>
        <v>7.354041291225479E-3</v>
      </c>
      <c r="BT130" s="546">
        <f t="shared" si="219"/>
        <v>4.3406243304056945E-3</v>
      </c>
      <c r="BU130" s="546"/>
      <c r="BV130" s="656">
        <f t="shared" si="220"/>
        <v>6.1202183909840266E-3</v>
      </c>
      <c r="BW130" s="472">
        <f t="shared" si="221"/>
        <v>25.985096778572647</v>
      </c>
      <c r="BX130" s="179">
        <f t="shared" si="222"/>
        <v>9.7317481214294316E-2</v>
      </c>
      <c r="BY130" s="6">
        <f t="shared" si="223"/>
        <v>1.008</v>
      </c>
      <c r="BZ130" s="179">
        <f t="shared" si="224"/>
        <v>0.91195517770389201</v>
      </c>
      <c r="CA130" s="6">
        <f t="shared" si="225"/>
        <v>91.195517770389202</v>
      </c>
      <c r="CB130">
        <f t="shared" si="226"/>
        <v>20</v>
      </c>
      <c r="CD130" s="581">
        <f t="shared" si="227"/>
        <v>-50</v>
      </c>
      <c r="CE130">
        <f t="shared" si="228"/>
        <v>-50</v>
      </c>
    </row>
    <row r="131" spans="5:83" x14ac:dyDescent="0.2">
      <c r="E131" s="176">
        <v>21</v>
      </c>
      <c r="F131" s="223">
        <f t="shared" si="229"/>
        <v>2.3099999999999999E-2</v>
      </c>
      <c r="G131" s="223">
        <f t="shared" si="168"/>
        <v>4.2000000000000003E-2</v>
      </c>
      <c r="H131" s="223">
        <f t="shared" si="169"/>
        <v>0.5544</v>
      </c>
      <c r="I131" s="223">
        <f t="shared" si="170"/>
        <v>0.504</v>
      </c>
      <c r="J131" s="559">
        <f t="shared" si="171"/>
        <v>10</v>
      </c>
      <c r="K131" s="454">
        <f t="shared" si="172"/>
        <v>24.25</v>
      </c>
      <c r="L131" s="454">
        <f t="shared" si="173"/>
        <v>34.25</v>
      </c>
      <c r="M131" s="454"/>
      <c r="N131" s="223">
        <f t="shared" si="174"/>
        <v>0.70802919708029199</v>
      </c>
      <c r="O131" s="178">
        <f t="shared" si="175"/>
        <v>2.5543839068474097</v>
      </c>
      <c r="P131" s="178">
        <f t="shared" si="176"/>
        <v>4.4332282680822832</v>
      </c>
      <c r="Q131" s="223">
        <f t="shared" si="177"/>
        <v>0.10643266278530873</v>
      </c>
      <c r="R131" s="223">
        <f t="shared" si="178"/>
        <v>0.21286532557061746</v>
      </c>
      <c r="S131" s="223">
        <f t="shared" si="179"/>
        <v>24</v>
      </c>
      <c r="T131" s="223">
        <f t="shared" si="180"/>
        <v>0.31470602278893106</v>
      </c>
      <c r="U131" s="223">
        <f t="shared" si="181"/>
        <v>1.4791183071079759</v>
      </c>
      <c r="V131" s="223">
        <f t="shared" si="182"/>
        <v>0.60994569365277362</v>
      </c>
      <c r="W131" s="203">
        <f t="shared" si="183"/>
        <v>350</v>
      </c>
      <c r="X131" s="454">
        <f t="shared" si="184"/>
        <v>350</v>
      </c>
      <c r="Z131" s="223">
        <f t="shared" si="185"/>
        <v>0.43041288576309544</v>
      </c>
      <c r="AA131" s="179">
        <f t="shared" si="186"/>
        <v>0.83420229405630864</v>
      </c>
      <c r="AB131" s="179">
        <f t="shared" si="187"/>
        <v>3.2913046530372254E-2</v>
      </c>
      <c r="AC131" s="179"/>
      <c r="AD131" s="179">
        <f t="shared" si="188"/>
        <v>0.56206185567010303</v>
      </c>
      <c r="AE131" s="563">
        <f t="shared" si="189"/>
        <v>283.43916816353385</v>
      </c>
      <c r="AF131" s="546">
        <f t="shared" si="190"/>
        <v>2.8524639175257726E-2</v>
      </c>
      <c r="AH131" s="179">
        <f t="shared" si="191"/>
        <v>0.35872113272544981</v>
      </c>
      <c r="AI131" s="179">
        <f t="shared" si="192"/>
        <v>0.35872113272544981</v>
      </c>
      <c r="AJ131" s="179">
        <f t="shared" si="193"/>
        <v>1.1619652389505908</v>
      </c>
      <c r="AL131" s="563">
        <f t="shared" si="194"/>
        <v>23.099999999999998</v>
      </c>
      <c r="AM131" s="472">
        <f t="shared" si="195"/>
        <v>283.43916816353385</v>
      </c>
      <c r="AO131" s="472">
        <f t="shared" si="196"/>
        <v>23.099999999999998</v>
      </c>
      <c r="AP131" s="472">
        <f t="shared" si="197"/>
        <v>283.43916816353385</v>
      </c>
      <c r="AR131" s="6">
        <f t="shared" si="146"/>
        <v>3.5280938992279189</v>
      </c>
      <c r="AS131" s="6">
        <f t="shared" si="230"/>
        <v>1.685989323809614</v>
      </c>
      <c r="AT131" s="6">
        <f t="shared" si="231"/>
        <v>1.842104575418305</v>
      </c>
      <c r="AU131" s="179">
        <f t="shared" si="232"/>
        <v>0.4778754114731959</v>
      </c>
      <c r="AW131" s="6">
        <f t="shared" si="201"/>
        <v>0.16227647241667534</v>
      </c>
      <c r="AX131" s="6">
        <f t="shared" si="202"/>
        <v>0.59009626333336496</v>
      </c>
      <c r="AY131" s="6">
        <f t="shared" si="203"/>
        <v>0.17916890817752776</v>
      </c>
      <c r="AZ131" s="6"/>
      <c r="BA131" s="179">
        <f t="shared" si="204"/>
        <v>0.14317054474861871</v>
      </c>
      <c r="BB131" s="179">
        <f t="shared" si="205"/>
        <v>0.14965230415085615</v>
      </c>
      <c r="BC131" s="179">
        <f t="shared" si="206"/>
        <v>0.26931861785961131</v>
      </c>
      <c r="BD131" s="179"/>
      <c r="BE131" s="546">
        <f t="shared" si="207"/>
        <v>7.1742317092656797E-3</v>
      </c>
      <c r="BF131" s="546">
        <f t="shared" si="208"/>
        <v>2.6117924749399404E-2</v>
      </c>
      <c r="BG131" s="546">
        <f t="shared" si="209"/>
        <v>3.5429896020441731E-3</v>
      </c>
      <c r="BH131" s="546">
        <f t="shared" si="210"/>
        <v>1.662459296019177E-2</v>
      </c>
      <c r="BI131">
        <f t="shared" si="211"/>
        <v>2.8999999999999998E-3</v>
      </c>
      <c r="BK131" s="472">
        <f t="shared" si="212"/>
        <v>56.359739020901024</v>
      </c>
      <c r="BL131" s="179">
        <f t="shared" si="213"/>
        <v>6.9299999999999995E-3</v>
      </c>
      <c r="BM131" s="179">
        <f t="shared" si="214"/>
        <v>1.26E-2</v>
      </c>
      <c r="BN131" s="546"/>
      <c r="BP131" s="472">
        <f t="shared" si="215"/>
        <v>19.529999999999998</v>
      </c>
      <c r="BQ131" s="546">
        <f t="shared" si="216"/>
        <v>4.099560976723246E-3</v>
      </c>
      <c r="BR131" s="546">
        <f t="shared" si="217"/>
        <v>4.4791624275320715E-3</v>
      </c>
      <c r="BS131" s="546">
        <f t="shared" si="218"/>
        <v>7.2532517925811349E-3</v>
      </c>
      <c r="BT131" s="546">
        <f t="shared" si="219"/>
        <v>5.2120919877705523E-3</v>
      </c>
      <c r="BU131" s="546"/>
      <c r="BV131" s="656">
        <f t="shared" si="220"/>
        <v>6.7475407760598889E-3</v>
      </c>
      <c r="BW131" s="472">
        <f t="shared" si="221"/>
        <v>27.791607960666894</v>
      </c>
      <c r="BX131" s="179">
        <f t="shared" si="222"/>
        <v>0.10368134698156792</v>
      </c>
      <c r="BY131" s="6">
        <f t="shared" si="223"/>
        <v>1.0584</v>
      </c>
      <c r="BZ131" s="179">
        <f t="shared" si="224"/>
        <v>0.91077961344885749</v>
      </c>
      <c r="CA131" s="6">
        <f t="shared" si="225"/>
        <v>91.07796134488575</v>
      </c>
      <c r="CB131">
        <f t="shared" si="226"/>
        <v>21</v>
      </c>
      <c r="CD131" s="581">
        <f t="shared" si="227"/>
        <v>-50</v>
      </c>
      <c r="CE131">
        <f t="shared" si="228"/>
        <v>-50</v>
      </c>
    </row>
    <row r="132" spans="5:83" x14ac:dyDescent="0.2">
      <c r="E132" s="176">
        <v>22</v>
      </c>
      <c r="F132" s="223">
        <f t="shared" si="229"/>
        <v>2.4199999999999999E-2</v>
      </c>
      <c r="G132" s="223">
        <f t="shared" si="168"/>
        <v>4.4000000000000004E-2</v>
      </c>
      <c r="H132" s="223">
        <f t="shared" si="169"/>
        <v>0.58079999999999998</v>
      </c>
      <c r="I132" s="223">
        <f t="shared" si="170"/>
        <v>0.52800000000000002</v>
      </c>
      <c r="J132" s="559">
        <f t="shared" si="171"/>
        <v>10</v>
      </c>
      <c r="K132" s="454">
        <f t="shared" si="172"/>
        <v>24.25</v>
      </c>
      <c r="L132" s="454">
        <f t="shared" si="173"/>
        <v>34.25</v>
      </c>
      <c r="M132" s="454"/>
      <c r="N132" s="223">
        <f t="shared" si="174"/>
        <v>0.70802919708029199</v>
      </c>
      <c r="O132" s="178">
        <f t="shared" si="175"/>
        <v>2.5543839068474097</v>
      </c>
      <c r="P132" s="178">
        <f t="shared" si="176"/>
        <v>4.4332282680822832</v>
      </c>
      <c r="Q132" s="223">
        <f t="shared" si="177"/>
        <v>0.10643266278530873</v>
      </c>
      <c r="R132" s="223">
        <f t="shared" si="178"/>
        <v>0.21286532557061746</v>
      </c>
      <c r="S132" s="223">
        <f t="shared" si="179"/>
        <v>24</v>
      </c>
      <c r="T132" s="223">
        <f t="shared" si="180"/>
        <v>0.32969202387411828</v>
      </c>
      <c r="U132" s="223">
        <f t="shared" si="181"/>
        <v>1.549552512208356</v>
      </c>
      <c r="V132" s="223">
        <f t="shared" si="182"/>
        <v>0.63899072668385815</v>
      </c>
      <c r="W132" s="203">
        <f t="shared" si="183"/>
        <v>350</v>
      </c>
      <c r="X132" s="454">
        <f t="shared" si="184"/>
        <v>350</v>
      </c>
      <c r="Z132" s="223">
        <f t="shared" si="185"/>
        <v>0.43041288576309544</v>
      </c>
      <c r="AA132" s="179">
        <f t="shared" si="186"/>
        <v>0.83420229405630864</v>
      </c>
      <c r="AB132" s="179">
        <f t="shared" si="187"/>
        <v>3.2913046530372254E-2</v>
      </c>
      <c r="AC132" s="179"/>
      <c r="AD132" s="179">
        <f t="shared" si="188"/>
        <v>0.56206185567010303</v>
      </c>
      <c r="AE132" s="563">
        <f t="shared" si="189"/>
        <v>296.93627140941641</v>
      </c>
      <c r="AF132" s="546">
        <f t="shared" si="190"/>
        <v>2.8524639175257726E-2</v>
      </c>
      <c r="AH132" s="179">
        <f t="shared" si="191"/>
        <v>0.36716278493101379</v>
      </c>
      <c r="AI132" s="179">
        <f t="shared" si="192"/>
        <v>0.36716278493101379</v>
      </c>
      <c r="AJ132" s="179">
        <f t="shared" si="193"/>
        <v>1.1696778693768093</v>
      </c>
      <c r="AL132" s="563">
        <f t="shared" si="194"/>
        <v>24.2</v>
      </c>
      <c r="AM132" s="472">
        <f t="shared" si="195"/>
        <v>296.93627140941641</v>
      </c>
      <c r="AO132" s="472">
        <f t="shared" si="196"/>
        <v>24.2</v>
      </c>
      <c r="AP132" s="472">
        <f t="shared" si="197"/>
        <v>296.93627140941641</v>
      </c>
      <c r="AR132" s="6">
        <f t="shared" si="146"/>
        <v>3.3677259947175591</v>
      </c>
      <c r="AS132" s="6">
        <f t="shared" si="230"/>
        <v>1.7256650891757646</v>
      </c>
      <c r="AT132" s="6">
        <f t="shared" si="231"/>
        <v>1.6420609055417945</v>
      </c>
      <c r="AU132" s="179">
        <f t="shared" si="232"/>
        <v>0.51241255728124957</v>
      </c>
      <c r="AW132" s="6">
        <f t="shared" si="201"/>
        <v>0.17400456315855625</v>
      </c>
      <c r="AX132" s="6">
        <f t="shared" si="202"/>
        <v>0.63274386603111366</v>
      </c>
      <c r="AY132" s="6">
        <f t="shared" si="203"/>
        <v>0.16731736384889018</v>
      </c>
      <c r="AZ132" s="6"/>
      <c r="BA132" s="179">
        <f t="shared" si="204"/>
        <v>0.15174273588264092</v>
      </c>
      <c r="BB132" s="179">
        <f t="shared" si="205"/>
        <v>0.14802132386793818</v>
      </c>
      <c r="BC132" s="179">
        <f t="shared" si="206"/>
        <v>0.26638345853784795</v>
      </c>
      <c r="BD132" s="179"/>
      <c r="BE132" s="546">
        <f t="shared" si="207"/>
        <v>8.0590502626021222E-3</v>
      </c>
      <c r="BF132" s="546">
        <f t="shared" si="208"/>
        <v>2.8005526734387446E-2</v>
      </c>
      <c r="BG132" s="546">
        <f t="shared" si="209"/>
        <v>3.7117033926177046E-3</v>
      </c>
      <c r="BH132" s="546">
        <f t="shared" si="210"/>
        <v>1.7416240244010426E-2</v>
      </c>
      <c r="BI132">
        <f t="shared" si="211"/>
        <v>2.8999999999999998E-3</v>
      </c>
      <c r="BK132" s="472">
        <f t="shared" si="212"/>
        <v>60.092520633617696</v>
      </c>
      <c r="BL132" s="179">
        <f t="shared" si="213"/>
        <v>7.2599999999999991E-3</v>
      </c>
      <c r="BM132" s="179">
        <f t="shared" si="214"/>
        <v>1.3200000000000002E-2</v>
      </c>
      <c r="BN132" s="546"/>
      <c r="BP132" s="472">
        <f t="shared" si="215"/>
        <v>20.459999999999997</v>
      </c>
      <c r="BQ132" s="546">
        <f t="shared" si="216"/>
        <v>4.6051715786297838E-3</v>
      </c>
      <c r="BR132" s="546">
        <f t="shared" si="217"/>
        <v>4.3820624639234083E-3</v>
      </c>
      <c r="BS132" s="546">
        <f t="shared" si="218"/>
        <v>7.0960146982585364E-3</v>
      </c>
      <c r="BT132" s="546">
        <f t="shared" si="219"/>
        <v>6.2054712771473812E-3</v>
      </c>
      <c r="BU132" s="546"/>
      <c r="BV132" s="656">
        <f t="shared" si="220"/>
        <v>7.4054642530906713E-3</v>
      </c>
      <c r="BW132" s="472">
        <f t="shared" si="221"/>
        <v>29.694184271049782</v>
      </c>
      <c r="BX132" s="179">
        <f t="shared" si="222"/>
        <v>0.11024670490466748</v>
      </c>
      <c r="BY132" s="6">
        <f t="shared" si="223"/>
        <v>1.1088</v>
      </c>
      <c r="BZ132" s="179">
        <f t="shared" si="224"/>
        <v>0.9095631820658675</v>
      </c>
      <c r="CA132" s="6">
        <f t="shared" si="225"/>
        <v>90.956318206586744</v>
      </c>
      <c r="CB132">
        <f t="shared" si="226"/>
        <v>22</v>
      </c>
      <c r="CD132" s="581">
        <f t="shared" si="227"/>
        <v>-50</v>
      </c>
      <c r="CE132">
        <f t="shared" si="228"/>
        <v>-50</v>
      </c>
    </row>
    <row r="133" spans="5:83" x14ac:dyDescent="0.2">
      <c r="E133" s="176">
        <v>23</v>
      </c>
      <c r="F133" s="223">
        <f t="shared" si="229"/>
        <v>2.53E-2</v>
      </c>
      <c r="G133" s="223">
        <f t="shared" si="168"/>
        <v>4.6000000000000006E-2</v>
      </c>
      <c r="H133" s="223">
        <f t="shared" si="169"/>
        <v>0.60719999999999996</v>
      </c>
      <c r="I133" s="223">
        <f t="shared" si="170"/>
        <v>0.55200000000000005</v>
      </c>
      <c r="J133" s="559">
        <f t="shared" si="171"/>
        <v>10</v>
      </c>
      <c r="K133" s="454">
        <f t="shared" si="172"/>
        <v>24.25</v>
      </c>
      <c r="L133" s="454">
        <f t="shared" si="173"/>
        <v>34.25</v>
      </c>
      <c r="M133" s="454"/>
      <c r="N133" s="223">
        <f t="shared" si="174"/>
        <v>0.70802919708029199</v>
      </c>
      <c r="O133" s="178">
        <f t="shared" si="175"/>
        <v>2.5543839068474097</v>
      </c>
      <c r="P133" s="178">
        <f t="shared" si="176"/>
        <v>4.4332282680822832</v>
      </c>
      <c r="Q133" s="223">
        <f t="shared" si="177"/>
        <v>0.10643266278530873</v>
      </c>
      <c r="R133" s="223">
        <f t="shared" si="178"/>
        <v>0.21286532557061746</v>
      </c>
      <c r="S133" s="223">
        <f t="shared" si="179"/>
        <v>24</v>
      </c>
      <c r="T133" s="223">
        <f t="shared" si="180"/>
        <v>0.3446780249593055</v>
      </c>
      <c r="U133" s="223">
        <f t="shared" si="181"/>
        <v>1.6199867173087359</v>
      </c>
      <c r="V133" s="223">
        <f t="shared" si="182"/>
        <v>0.66803575971494267</v>
      </c>
      <c r="W133" s="203">
        <f t="shared" si="183"/>
        <v>350</v>
      </c>
      <c r="X133" s="454">
        <f t="shared" si="184"/>
        <v>350</v>
      </c>
      <c r="Z133" s="223">
        <f t="shared" si="185"/>
        <v>0.43041288576309544</v>
      </c>
      <c r="AA133" s="179">
        <f t="shared" si="186"/>
        <v>0.83420229405630864</v>
      </c>
      <c r="AB133" s="179">
        <f t="shared" si="187"/>
        <v>3.2913046530372254E-2</v>
      </c>
      <c r="AC133" s="179"/>
      <c r="AD133" s="179">
        <f t="shared" si="188"/>
        <v>0.56206185567010303</v>
      </c>
      <c r="AE133" s="563">
        <f t="shared" si="189"/>
        <v>310.43337465529896</v>
      </c>
      <c r="AF133" s="546">
        <f t="shared" si="190"/>
        <v>2.8524639175257726E-2</v>
      </c>
      <c r="AH133" s="179">
        <f t="shared" si="191"/>
        <v>0.37541466435498488</v>
      </c>
      <c r="AI133" s="179">
        <f t="shared" si="192"/>
        <v>0.37541466435498488</v>
      </c>
      <c r="AJ133" s="179">
        <f t="shared" si="193"/>
        <v>1.177390499803028</v>
      </c>
      <c r="AL133" s="563">
        <f t="shared" si="194"/>
        <v>25.3</v>
      </c>
      <c r="AM133" s="472">
        <f t="shared" si="195"/>
        <v>310.43337465529896</v>
      </c>
      <c r="AO133" s="472">
        <f t="shared" si="196"/>
        <v>25.3</v>
      </c>
      <c r="AP133" s="472">
        <f t="shared" si="197"/>
        <v>310.43337465529896</v>
      </c>
      <c r="AR133" s="6">
        <f t="shared" si="146"/>
        <v>3.2213031253820135</v>
      </c>
      <c r="AS133" s="6">
        <f t="shared" si="230"/>
        <v>1.764448922468429</v>
      </c>
      <c r="AT133" s="6">
        <f t="shared" si="231"/>
        <v>1.4568542029135845</v>
      </c>
      <c r="AU133" s="179">
        <f t="shared" si="232"/>
        <v>0.5477438334087803</v>
      </c>
      <c r="AW133" s="6">
        <f t="shared" si="201"/>
        <v>0.18600232391021357</v>
      </c>
      <c r="AX133" s="6">
        <f t="shared" si="202"/>
        <v>0.67637208694623119</v>
      </c>
      <c r="AY133" s="6">
        <f t="shared" si="203"/>
        <v>0.15519331087879445</v>
      </c>
      <c r="AZ133" s="6"/>
      <c r="BA133" s="179">
        <f t="shared" si="204"/>
        <v>0.16041292356321415</v>
      </c>
      <c r="BB133" s="179">
        <f t="shared" si="205"/>
        <v>0.14576150849300964</v>
      </c>
      <c r="BC133" s="179">
        <f t="shared" si="206"/>
        <v>0.26231662938445149</v>
      </c>
      <c r="BD133" s="179"/>
      <c r="BE133" s="546">
        <f t="shared" si="207"/>
        <v>9.0063071161341542E-3</v>
      </c>
      <c r="BF133" s="546">
        <f t="shared" si="208"/>
        <v>2.9936531320612858E-2</v>
      </c>
      <c r="BG133" s="546">
        <f t="shared" si="209"/>
        <v>3.8804171831912366E-3</v>
      </c>
      <c r="BH133" s="546">
        <f t="shared" si="210"/>
        <v>1.8207887527829082E-2</v>
      </c>
      <c r="BI133">
        <f t="shared" si="211"/>
        <v>2.8999999999999998E-3</v>
      </c>
      <c r="BK133" s="472">
        <f t="shared" si="212"/>
        <v>63.931143147767337</v>
      </c>
      <c r="BL133" s="179">
        <f t="shared" si="213"/>
        <v>7.5899999999999995E-3</v>
      </c>
      <c r="BM133" s="179">
        <f t="shared" si="214"/>
        <v>1.3800000000000002E-2</v>
      </c>
      <c r="BN133" s="546"/>
      <c r="BP133" s="472">
        <f t="shared" si="215"/>
        <v>21.39</v>
      </c>
      <c r="BQ133" s="546">
        <f t="shared" si="216"/>
        <v>5.1464612092195182E-3</v>
      </c>
      <c r="BR133" s="546">
        <f t="shared" si="217"/>
        <v>4.249283471631545E-3</v>
      </c>
      <c r="BS133" s="546">
        <f t="shared" si="218"/>
        <v>6.8810014051619685E-3</v>
      </c>
      <c r="BT133" s="546">
        <f t="shared" si="219"/>
        <v>7.3310992944032359E-3</v>
      </c>
      <c r="BU133" s="546"/>
      <c r="BV133" s="656">
        <f t="shared" si="220"/>
        <v>8.0939888220763739E-3</v>
      </c>
      <c r="BW133" s="472">
        <f t="shared" si="221"/>
        <v>31.701834202492638</v>
      </c>
      <c r="BX133" s="179">
        <f t="shared" si="222"/>
        <v>0.11702297735025999</v>
      </c>
      <c r="BY133" s="6">
        <f t="shared" si="223"/>
        <v>1.1592</v>
      </c>
      <c r="BZ133" s="179">
        <f t="shared" si="224"/>
        <v>0.90830522610302211</v>
      </c>
      <c r="CA133" s="6">
        <f t="shared" si="225"/>
        <v>90.830522610302211</v>
      </c>
      <c r="CB133">
        <f t="shared" si="226"/>
        <v>23</v>
      </c>
      <c r="CD133" s="581">
        <f t="shared" si="227"/>
        <v>-50</v>
      </c>
      <c r="CE133">
        <f t="shared" si="228"/>
        <v>-50</v>
      </c>
    </row>
    <row r="134" spans="5:83" x14ac:dyDescent="0.2">
      <c r="E134" s="176">
        <v>24</v>
      </c>
      <c r="F134" s="223">
        <f t="shared" si="229"/>
        <v>2.64E-2</v>
      </c>
      <c r="G134" s="223">
        <f t="shared" si="168"/>
        <v>4.8000000000000001E-2</v>
      </c>
      <c r="H134" s="223">
        <f t="shared" si="169"/>
        <v>0.63359999999999994</v>
      </c>
      <c r="I134" s="223">
        <f t="shared" si="170"/>
        <v>0.57600000000000007</v>
      </c>
      <c r="J134" s="559">
        <f t="shared" si="171"/>
        <v>10</v>
      </c>
      <c r="K134" s="454">
        <f t="shared" si="172"/>
        <v>24.25</v>
      </c>
      <c r="L134" s="454">
        <f t="shared" si="173"/>
        <v>34.25</v>
      </c>
      <c r="M134" s="454"/>
      <c r="N134" s="223">
        <f t="shared" si="174"/>
        <v>0.70802919708029199</v>
      </c>
      <c r="O134" s="178">
        <f t="shared" si="175"/>
        <v>2.5543839068474097</v>
      </c>
      <c r="P134" s="178">
        <f t="shared" si="176"/>
        <v>4.4332282680822832</v>
      </c>
      <c r="Q134" s="223">
        <f t="shared" si="177"/>
        <v>0.10643266278530873</v>
      </c>
      <c r="R134" s="223">
        <f t="shared" si="178"/>
        <v>0.21286532557061746</v>
      </c>
      <c r="S134" s="223">
        <f t="shared" si="179"/>
        <v>24</v>
      </c>
      <c r="T134" s="223">
        <f t="shared" si="180"/>
        <v>0.35966402604449266</v>
      </c>
      <c r="U134" s="223">
        <f t="shared" si="181"/>
        <v>1.6904209224091153</v>
      </c>
      <c r="V134" s="223">
        <f t="shared" si="182"/>
        <v>0.69708079274602697</v>
      </c>
      <c r="W134" s="203">
        <f t="shared" si="183"/>
        <v>350</v>
      </c>
      <c r="X134" s="454">
        <f t="shared" si="184"/>
        <v>350</v>
      </c>
      <c r="Z134" s="223">
        <f t="shared" si="185"/>
        <v>0.43041288576309544</v>
      </c>
      <c r="AA134" s="179">
        <f t="shared" si="186"/>
        <v>0.83420229405630864</v>
      </c>
      <c r="AB134" s="179">
        <f t="shared" si="187"/>
        <v>3.2913046530372254E-2</v>
      </c>
      <c r="AC134" s="179"/>
      <c r="AD134" s="179">
        <f t="shared" si="188"/>
        <v>0.56206185567010303</v>
      </c>
      <c r="AE134" s="563">
        <f t="shared" si="189"/>
        <v>323.93047790118158</v>
      </c>
      <c r="AF134" s="546">
        <f t="shared" si="190"/>
        <v>2.8524639175257726E-2</v>
      </c>
      <c r="AH134" s="179">
        <f t="shared" si="191"/>
        <v>0.38348902172974136</v>
      </c>
      <c r="AI134" s="179">
        <f t="shared" si="192"/>
        <v>0.38348902172974136</v>
      </c>
      <c r="AJ134" s="179">
        <f t="shared" si="193"/>
        <v>1.1851031302292467</v>
      </c>
      <c r="AL134" s="563">
        <f t="shared" si="194"/>
        <v>26.4</v>
      </c>
      <c r="AM134" s="472">
        <f t="shared" si="195"/>
        <v>323.93047790118158</v>
      </c>
      <c r="AO134" s="472">
        <f t="shared" si="196"/>
        <v>26.4</v>
      </c>
      <c r="AP134" s="472">
        <f t="shared" si="197"/>
        <v>323.93047790118158</v>
      </c>
      <c r="AR134" s="6">
        <f t="shared" ref="AR134:AR197" si="233">1/AM134*1000</f>
        <v>3.0870821618244291</v>
      </c>
      <c r="AS134" s="6">
        <f t="shared" si="230"/>
        <v>1.8023984021297843</v>
      </c>
      <c r="AT134" s="6">
        <f t="shared" si="231"/>
        <v>1.2846837596946448</v>
      </c>
      <c r="AU134" s="179">
        <f t="shared" si="232"/>
        <v>0.58385177577022707</v>
      </c>
      <c r="AW134" s="6">
        <f t="shared" si="201"/>
        <v>0.1982638242342763</v>
      </c>
      <c r="AX134" s="6">
        <f t="shared" si="202"/>
        <v>0.7209593608519137</v>
      </c>
      <c r="AY134" s="6">
        <f t="shared" si="203"/>
        <v>0.14280274213026786</v>
      </c>
      <c r="AZ134" s="6"/>
      <c r="BA134" s="179">
        <f t="shared" si="204"/>
        <v>0.16917789273705061</v>
      </c>
      <c r="BB134" s="179">
        <f t="shared" si="205"/>
        <v>0.14282897886912052</v>
      </c>
      <c r="BC134" s="179">
        <f t="shared" si="206"/>
        <v>0.25703916419860284</v>
      </c>
      <c r="BD134" s="179"/>
      <c r="BE134" s="546">
        <f t="shared" si="207"/>
        <v>1.001740578683215E-2</v>
      </c>
      <c r="BF134" s="546">
        <f t="shared" si="208"/>
        <v>3.1909984021484483E-2</v>
      </c>
      <c r="BG134" s="546">
        <f t="shared" si="209"/>
        <v>4.0491309737647691E-3</v>
      </c>
      <c r="BH134" s="546">
        <f t="shared" si="210"/>
        <v>1.8999534811647741E-2</v>
      </c>
      <c r="BI134">
        <f t="shared" si="211"/>
        <v>2.8999999999999998E-3</v>
      </c>
      <c r="BK134" s="472">
        <f t="shared" si="212"/>
        <v>67.876055593729134</v>
      </c>
      <c r="BL134" s="179">
        <f t="shared" si="213"/>
        <v>7.92E-3</v>
      </c>
      <c r="BM134" s="179">
        <f t="shared" si="214"/>
        <v>1.44E-2</v>
      </c>
      <c r="BN134" s="546"/>
      <c r="BP134" s="472">
        <f t="shared" si="215"/>
        <v>22.32</v>
      </c>
      <c r="BQ134" s="546">
        <f t="shared" si="216"/>
        <v>5.724231878189801E-3</v>
      </c>
      <c r="BR134" s="546">
        <f t="shared" si="217"/>
        <v>4.080023440959135E-3</v>
      </c>
      <c r="BS134" s="546">
        <f t="shared" si="218"/>
        <v>6.6069131931916318E-3</v>
      </c>
      <c r="BT134" s="546">
        <f t="shared" si="219"/>
        <v>8.5996717220453225E-3</v>
      </c>
      <c r="BU134" s="546"/>
      <c r="BV134" s="656">
        <f t="shared" si="220"/>
        <v>8.8131144830169983E-3</v>
      </c>
      <c r="BW134" s="472">
        <f t="shared" si="221"/>
        <v>33.823954717402891</v>
      </c>
      <c r="BX134" s="179">
        <f t="shared" si="222"/>
        <v>0.12402001031113202</v>
      </c>
      <c r="BY134" s="6">
        <f t="shared" si="223"/>
        <v>1.2096</v>
      </c>
      <c r="BZ134" s="179">
        <f t="shared" si="224"/>
        <v>0.90700498691362752</v>
      </c>
      <c r="CA134" s="6">
        <f t="shared" si="225"/>
        <v>90.700498691362753</v>
      </c>
      <c r="CB134">
        <f t="shared" si="226"/>
        <v>24</v>
      </c>
      <c r="CD134" s="581">
        <f t="shared" si="227"/>
        <v>-50</v>
      </c>
      <c r="CE134">
        <f t="shared" si="228"/>
        <v>-50</v>
      </c>
    </row>
    <row r="135" spans="5:83" x14ac:dyDescent="0.2">
      <c r="E135" s="176">
        <v>25</v>
      </c>
      <c r="F135" s="223">
        <f t="shared" si="229"/>
        <v>2.75E-2</v>
      </c>
      <c r="G135" s="223">
        <f t="shared" si="168"/>
        <v>0.05</v>
      </c>
      <c r="H135" s="223">
        <f t="shared" si="169"/>
        <v>0.66</v>
      </c>
      <c r="I135" s="223">
        <f t="shared" si="170"/>
        <v>0.60000000000000009</v>
      </c>
      <c r="J135" s="559">
        <f t="shared" si="171"/>
        <v>10</v>
      </c>
      <c r="K135" s="454">
        <f t="shared" si="172"/>
        <v>24.25</v>
      </c>
      <c r="L135" s="454">
        <f t="shared" si="173"/>
        <v>34.25</v>
      </c>
      <c r="M135" s="454"/>
      <c r="N135" s="223">
        <f t="shared" si="174"/>
        <v>0.70802919708029199</v>
      </c>
      <c r="O135" s="178">
        <f t="shared" si="175"/>
        <v>2.5543839068474097</v>
      </c>
      <c r="P135" s="178">
        <f t="shared" si="176"/>
        <v>4.4332282680822832</v>
      </c>
      <c r="Q135" s="223">
        <f t="shared" si="177"/>
        <v>0.10643266278530873</v>
      </c>
      <c r="R135" s="223">
        <f t="shared" si="178"/>
        <v>0.21286532557061746</v>
      </c>
      <c r="S135" s="223">
        <f t="shared" si="179"/>
        <v>24</v>
      </c>
      <c r="T135" s="223">
        <f t="shared" si="180"/>
        <v>0.37465002712967993</v>
      </c>
      <c r="U135" s="223">
        <f t="shared" si="181"/>
        <v>1.7608551275094955</v>
      </c>
      <c r="V135" s="223">
        <f t="shared" si="182"/>
        <v>0.72612582577711149</v>
      </c>
      <c r="W135" s="203">
        <f t="shared" si="183"/>
        <v>350</v>
      </c>
      <c r="X135" s="454">
        <f t="shared" si="184"/>
        <v>350</v>
      </c>
      <c r="Z135" s="223">
        <f t="shared" si="185"/>
        <v>0.43041288576309544</v>
      </c>
      <c r="AA135" s="179">
        <f t="shared" si="186"/>
        <v>0.83420229405630864</v>
      </c>
      <c r="AB135" s="179">
        <f t="shared" si="187"/>
        <v>3.2913046530372254E-2</v>
      </c>
      <c r="AC135" s="179"/>
      <c r="AD135" s="179">
        <f t="shared" si="188"/>
        <v>0.56206185567010303</v>
      </c>
      <c r="AE135" s="563">
        <f t="shared" si="189"/>
        <v>337.42758114706413</v>
      </c>
      <c r="AF135" s="546">
        <f t="shared" si="190"/>
        <v>2.8524639175257726E-2</v>
      </c>
      <c r="AH135" s="179">
        <f t="shared" si="191"/>
        <v>0.39139684383206536</v>
      </c>
      <c r="AI135" s="179">
        <f t="shared" si="192"/>
        <v>0.39139684383206536</v>
      </c>
      <c r="AJ135" s="179">
        <f t="shared" si="193"/>
        <v>1.1928157606554652</v>
      </c>
      <c r="AL135" s="563">
        <f t="shared" si="194"/>
        <v>27.5</v>
      </c>
      <c r="AM135" s="472">
        <f t="shared" si="195"/>
        <v>337.42758114706413</v>
      </c>
      <c r="AO135" s="472">
        <f t="shared" si="196"/>
        <v>27.5</v>
      </c>
      <c r="AP135" s="472">
        <f t="shared" si="197"/>
        <v>337.42758114706413</v>
      </c>
      <c r="AR135" s="6">
        <f t="shared" si="233"/>
        <v>2.9635988753514519</v>
      </c>
      <c r="AS135" s="6">
        <f t="shared" si="230"/>
        <v>1.8395651660107071</v>
      </c>
      <c r="AT135" s="6">
        <f t="shared" si="231"/>
        <v>1.1240337093407449</v>
      </c>
      <c r="AU135" s="179">
        <f t="shared" si="232"/>
        <v>0.62072002432939033</v>
      </c>
      <c r="AW135" s="6">
        <f t="shared" si="201"/>
        <v>0.21078350860539352</v>
      </c>
      <c r="AX135" s="6">
        <f t="shared" si="202"/>
        <v>0.76648548583779463</v>
      </c>
      <c r="AY135" s="6">
        <f t="shared" si="203"/>
        <v>0.13015127160787573</v>
      </c>
      <c r="AZ135" s="6"/>
      <c r="BA135" s="179">
        <f t="shared" si="204"/>
        <v>0.17803466423110911</v>
      </c>
      <c r="BB135" s="179">
        <f t="shared" si="205"/>
        <v>0.13916712298294553</v>
      </c>
      <c r="BC135" s="179">
        <f t="shared" si="206"/>
        <v>0.25044918236262925</v>
      </c>
      <c r="BD135" s="179"/>
      <c r="BE135" s="546">
        <f t="shared" si="207"/>
        <v>1.1093719583759317E-2</v>
      </c>
      <c r="BF135" s="546">
        <f t="shared" si="208"/>
        <v>3.3924990691406844E-2</v>
      </c>
      <c r="BG135" s="546">
        <f t="shared" si="209"/>
        <v>4.2178447643383011E-3</v>
      </c>
      <c r="BH135" s="546">
        <f t="shared" si="210"/>
        <v>1.9791182095466396E-2</v>
      </c>
      <c r="BI135">
        <f t="shared" si="211"/>
        <v>2.8999999999999998E-3</v>
      </c>
      <c r="BK135" s="472">
        <f t="shared" si="212"/>
        <v>71.92773713497084</v>
      </c>
      <c r="BL135" s="179">
        <f t="shared" si="213"/>
        <v>8.2500000000000004E-3</v>
      </c>
      <c r="BM135" s="179">
        <f t="shared" si="214"/>
        <v>1.4999999999999999E-2</v>
      </c>
      <c r="BN135" s="546"/>
      <c r="BP135" s="472">
        <f t="shared" si="215"/>
        <v>23.25</v>
      </c>
      <c r="BQ135" s="546">
        <f t="shared" si="216"/>
        <v>6.3392683335767534E-3</v>
      </c>
      <c r="BR135" s="546">
        <f t="shared" si="217"/>
        <v>3.8734976238700581E-3</v>
      </c>
      <c r="BS135" s="546">
        <f t="shared" si="218"/>
        <v>6.2724792946109529E-3</v>
      </c>
      <c r="BT135" s="546">
        <f t="shared" si="219"/>
        <v>1.0022238863076691E-2</v>
      </c>
      <c r="BU135" s="546"/>
      <c r="BV135" s="656">
        <f t="shared" si="220"/>
        <v>9.5628412359125437E-3</v>
      </c>
      <c r="BW135" s="472">
        <f t="shared" si="221"/>
        <v>36.070325351046996</v>
      </c>
      <c r="BX135" s="179">
        <f t="shared" si="222"/>
        <v>0.13124806248601786</v>
      </c>
      <c r="BY135" s="6">
        <f t="shared" si="223"/>
        <v>1.2600000000000002</v>
      </c>
      <c r="BZ135" s="179">
        <f t="shared" si="224"/>
        <v>0.90566163862144677</v>
      </c>
      <c r="CA135" s="6">
        <f t="shared" si="225"/>
        <v>90.566163862144677</v>
      </c>
      <c r="CB135">
        <f t="shared" si="226"/>
        <v>25</v>
      </c>
      <c r="CD135" s="581">
        <f t="shared" si="227"/>
        <v>-50</v>
      </c>
      <c r="CE135">
        <f t="shared" si="228"/>
        <v>-50</v>
      </c>
    </row>
    <row r="136" spans="5:83" x14ac:dyDescent="0.2">
      <c r="E136" s="176">
        <v>26</v>
      </c>
      <c r="F136" s="223">
        <f t="shared" si="229"/>
        <v>2.86E-2</v>
      </c>
      <c r="G136" s="223">
        <f t="shared" si="168"/>
        <v>5.2000000000000005E-2</v>
      </c>
      <c r="H136" s="223">
        <f t="shared" si="169"/>
        <v>0.68640000000000001</v>
      </c>
      <c r="I136" s="223">
        <f t="shared" si="170"/>
        <v>0.62400000000000011</v>
      </c>
      <c r="J136" s="559">
        <f t="shared" si="171"/>
        <v>10</v>
      </c>
      <c r="K136" s="454">
        <f t="shared" si="172"/>
        <v>24.25</v>
      </c>
      <c r="L136" s="454">
        <f t="shared" si="173"/>
        <v>34.25</v>
      </c>
      <c r="M136" s="454"/>
      <c r="N136" s="223">
        <f t="shared" si="174"/>
        <v>0.70802919708029199</v>
      </c>
      <c r="O136" s="178">
        <f t="shared" si="175"/>
        <v>2.5543839068474097</v>
      </c>
      <c r="P136" s="178">
        <f t="shared" si="176"/>
        <v>4.4332282680822832</v>
      </c>
      <c r="Q136" s="223">
        <f t="shared" si="177"/>
        <v>0.10643266278530873</v>
      </c>
      <c r="R136" s="223">
        <f t="shared" si="178"/>
        <v>0.21286532557061746</v>
      </c>
      <c r="S136" s="223">
        <f t="shared" si="179"/>
        <v>24</v>
      </c>
      <c r="T136" s="223">
        <f t="shared" si="180"/>
        <v>0.38963602821486704</v>
      </c>
      <c r="U136" s="223">
        <f t="shared" si="181"/>
        <v>1.8312893326098749</v>
      </c>
      <c r="V136" s="223">
        <f t="shared" si="182"/>
        <v>0.7551708588081959</v>
      </c>
      <c r="W136" s="203">
        <f t="shared" si="183"/>
        <v>350</v>
      </c>
      <c r="X136" s="454">
        <f t="shared" si="184"/>
        <v>350</v>
      </c>
      <c r="Z136" s="223">
        <f t="shared" si="185"/>
        <v>0.43041288576309544</v>
      </c>
      <c r="AA136" s="179">
        <f t="shared" si="186"/>
        <v>0.83420229405630864</v>
      </c>
      <c r="AB136" s="179">
        <f t="shared" si="187"/>
        <v>3.2913046530372254E-2</v>
      </c>
      <c r="AC136" s="179"/>
      <c r="AD136" s="179">
        <f t="shared" si="188"/>
        <v>0.56206185567010303</v>
      </c>
      <c r="AE136" s="563">
        <f t="shared" si="189"/>
        <v>350.92468439294663</v>
      </c>
      <c r="AF136" s="546">
        <f t="shared" si="190"/>
        <v>2.8524639175257726E-2</v>
      </c>
      <c r="AH136" s="179">
        <f t="shared" si="191"/>
        <v>0.39914802885166578</v>
      </c>
      <c r="AI136" s="179">
        <f t="shared" si="192"/>
        <v>0.39914802885166578</v>
      </c>
      <c r="AJ136" s="179">
        <f t="shared" si="193"/>
        <v>1.2808503917419747</v>
      </c>
      <c r="AL136" s="563">
        <f t="shared" si="194"/>
        <v>28.6</v>
      </c>
      <c r="AM136" s="472">
        <f t="shared" si="195"/>
        <v>350</v>
      </c>
      <c r="AO136" s="472">
        <f t="shared" si="196"/>
        <v>28.6</v>
      </c>
      <c r="AP136" s="472">
        <f t="shared" si="197"/>
        <v>350</v>
      </c>
      <c r="AR136" s="6">
        <f t="shared" si="233"/>
        <v>2.8571428571428572</v>
      </c>
      <c r="AS136" s="6">
        <f t="shared" si="230"/>
        <v>1.875995735602829</v>
      </c>
      <c r="AT136" s="6">
        <f t="shared" si="231"/>
        <v>0.98114712154002826</v>
      </c>
      <c r="AU136" s="179">
        <f t="shared" si="232"/>
        <v>0.65659850746099013</v>
      </c>
      <c r="AW136" s="6">
        <f t="shared" si="201"/>
        <v>0.22355615849267046</v>
      </c>
      <c r="AX136" s="6">
        <f t="shared" si="202"/>
        <v>0.81293148542789273</v>
      </c>
      <c r="AY136" s="6">
        <f t="shared" si="203"/>
        <v>0.11815076916229392</v>
      </c>
      <c r="AZ136" s="6"/>
      <c r="BA136" s="179">
        <f t="shared" si="204"/>
        <v>0.18673395995501602</v>
      </c>
      <c r="BB136" s="179">
        <f t="shared" si="205"/>
        <v>0.13504373801936129</v>
      </c>
      <c r="BC136" s="179">
        <f t="shared" si="206"/>
        <v>0.24302861944115112</v>
      </c>
      <c r="BD136" s="179"/>
      <c r="BE136" s="546">
        <f t="shared" si="207"/>
        <v>1.2204350130168533E-2</v>
      </c>
      <c r="BF136" s="546">
        <f t="shared" si="208"/>
        <v>3.5885902468945075E-2</v>
      </c>
      <c r="BG136" s="546">
        <f t="shared" si="209"/>
        <v>4.3749999999999995E-3</v>
      </c>
      <c r="BH136" s="546">
        <f t="shared" si="210"/>
        <v>2.0528593750000001E-2</v>
      </c>
      <c r="BI136">
        <f t="shared" si="211"/>
        <v>2.8999999999999998E-3</v>
      </c>
      <c r="BK136" s="472">
        <f t="shared" si="212"/>
        <v>75.893846349113602</v>
      </c>
      <c r="BL136" s="179">
        <f t="shared" si="213"/>
        <v>8.5799999999999991E-3</v>
      </c>
      <c r="BM136" s="179">
        <f t="shared" si="214"/>
        <v>1.5600000000000001E-2</v>
      </c>
      <c r="BN136" s="546"/>
      <c r="BP136" s="472">
        <f t="shared" si="215"/>
        <v>24.18</v>
      </c>
      <c r="BQ136" s="546">
        <f t="shared" si="216"/>
        <v>6.9739143600963047E-3</v>
      </c>
      <c r="BR136" s="546">
        <f t="shared" si="217"/>
        <v>3.647362235648377E-3</v>
      </c>
      <c r="BS136" s="546">
        <f t="shared" si="218"/>
        <v>5.9062909867471855E-3</v>
      </c>
      <c r="BT136" s="546">
        <f t="shared" si="219"/>
        <v>1.1533870938847285E-2</v>
      </c>
      <c r="BU136" s="546"/>
      <c r="BV136" s="656">
        <f t="shared" si="220"/>
        <v>1.0315914893617023E-2</v>
      </c>
      <c r="BW136" s="472">
        <f t="shared" si="221"/>
        <v>38.377353414956175</v>
      </c>
      <c r="BX136" s="179">
        <f t="shared" si="222"/>
        <v>0.13845119976406978</v>
      </c>
      <c r="BY136" s="6">
        <f t="shared" si="223"/>
        <v>1.3104</v>
      </c>
      <c r="BZ136" s="179">
        <f t="shared" si="224"/>
        <v>0.90444070461713721</v>
      </c>
      <c r="CA136" s="6">
        <f t="shared" si="225"/>
        <v>90.444070461713721</v>
      </c>
      <c r="CB136">
        <f t="shared" si="226"/>
        <v>26</v>
      </c>
      <c r="CD136" s="581">
        <f t="shared" si="227"/>
        <v>-50</v>
      </c>
      <c r="CE136">
        <f t="shared" si="228"/>
        <v>-50</v>
      </c>
    </row>
    <row r="137" spans="5:83" x14ac:dyDescent="0.2">
      <c r="E137" s="176">
        <v>27</v>
      </c>
      <c r="F137" s="223">
        <f t="shared" si="229"/>
        <v>2.9700000000000001E-2</v>
      </c>
      <c r="G137" s="223">
        <f t="shared" si="168"/>
        <v>5.4000000000000006E-2</v>
      </c>
      <c r="H137" s="223">
        <f t="shared" si="169"/>
        <v>0.71279999999999999</v>
      </c>
      <c r="I137" s="223">
        <f t="shared" si="170"/>
        <v>0.64800000000000013</v>
      </c>
      <c r="J137" s="559">
        <f t="shared" si="171"/>
        <v>10</v>
      </c>
      <c r="K137" s="454">
        <f t="shared" si="172"/>
        <v>24.25</v>
      </c>
      <c r="L137" s="454">
        <f t="shared" si="173"/>
        <v>34.25</v>
      </c>
      <c r="M137" s="454"/>
      <c r="N137" s="223">
        <f t="shared" si="174"/>
        <v>0.70802919708029199</v>
      </c>
      <c r="O137" s="178">
        <f t="shared" si="175"/>
        <v>2.5543839068474097</v>
      </c>
      <c r="P137" s="178">
        <f t="shared" si="176"/>
        <v>4.4332282680822832</v>
      </c>
      <c r="Q137" s="223">
        <f t="shared" si="177"/>
        <v>0.10643266278530873</v>
      </c>
      <c r="R137" s="223">
        <f t="shared" si="178"/>
        <v>0.21286532557061746</v>
      </c>
      <c r="S137" s="223">
        <f t="shared" si="179"/>
        <v>24</v>
      </c>
      <c r="T137" s="223">
        <f t="shared" si="180"/>
        <v>0.40462202930005431</v>
      </c>
      <c r="U137" s="223">
        <f t="shared" si="181"/>
        <v>1.9017235377102553</v>
      </c>
      <c r="V137" s="223">
        <f t="shared" si="182"/>
        <v>0.78421589183928042</v>
      </c>
      <c r="W137" s="203">
        <f t="shared" si="183"/>
        <v>350</v>
      </c>
      <c r="X137" s="454">
        <f t="shared" si="184"/>
        <v>350</v>
      </c>
      <c r="Z137" s="223">
        <f t="shared" si="185"/>
        <v>0.43041288576309544</v>
      </c>
      <c r="AA137" s="179">
        <f t="shared" si="186"/>
        <v>0.83420229405630864</v>
      </c>
      <c r="AB137" s="179">
        <f t="shared" si="187"/>
        <v>3.2913046530372254E-2</v>
      </c>
      <c r="AC137" s="179"/>
      <c r="AD137" s="179">
        <f t="shared" si="188"/>
        <v>0.56206185567010303</v>
      </c>
      <c r="AE137" s="563">
        <f t="shared" si="189"/>
        <v>364.42178763882924</v>
      </c>
      <c r="AF137" s="546">
        <f t="shared" si="190"/>
        <v>2.8524639175257726E-2</v>
      </c>
      <c r="AH137" s="179">
        <f t="shared" si="191"/>
        <v>0.40675153166354316</v>
      </c>
      <c r="AI137" s="179">
        <f t="shared" si="192"/>
        <v>0.40675153166354316</v>
      </c>
      <c r="AJ137" s="179">
        <f t="shared" si="193"/>
        <v>1.286482616047069</v>
      </c>
      <c r="AL137" s="563">
        <f t="shared" si="194"/>
        <v>29.7</v>
      </c>
      <c r="AM137" s="472">
        <f t="shared" si="195"/>
        <v>350</v>
      </c>
      <c r="AO137" s="472">
        <f t="shared" si="196"/>
        <v>29.7</v>
      </c>
      <c r="AP137" s="472">
        <f t="shared" si="197"/>
        <v>350</v>
      </c>
      <c r="AR137" s="6">
        <f t="shared" si="233"/>
        <v>2.8571428571428572</v>
      </c>
      <c r="AS137" s="6">
        <f t="shared" si="230"/>
        <v>1.9117321988186526</v>
      </c>
      <c r="AT137" s="6">
        <f t="shared" si="231"/>
        <v>0.94541065832420457</v>
      </c>
      <c r="AU137" s="179">
        <f t="shared" si="232"/>
        <v>0.66910626958652841</v>
      </c>
      <c r="AW137" s="6">
        <f t="shared" si="201"/>
        <v>0.23657685960380828</v>
      </c>
      <c r="AX137" s="6">
        <f t="shared" si="202"/>
        <v>0.86027948946839383</v>
      </c>
      <c r="AY137" s="6">
        <f t="shared" si="203"/>
        <v>0.11822609074622684</v>
      </c>
      <c r="AZ137" s="6"/>
      <c r="BA137" s="179">
        <f t="shared" si="204"/>
        <v>0.1920950258401207</v>
      </c>
      <c r="BB137" s="179">
        <f t="shared" si="205"/>
        <v>0.13508677662042329</v>
      </c>
      <c r="BC137" s="179">
        <f t="shared" si="206"/>
        <v>0.24310607295326644</v>
      </c>
      <c r="BD137" s="179"/>
      <c r="BE137" s="546">
        <f t="shared" si="207"/>
        <v>1.2915174633380823E-2</v>
      </c>
      <c r="BF137" s="546">
        <f t="shared" si="208"/>
        <v>3.6569504893625426E-2</v>
      </c>
      <c r="BG137" s="546">
        <f t="shared" si="209"/>
        <v>4.3749999999999995E-3</v>
      </c>
      <c r="BH137" s="546">
        <f t="shared" si="210"/>
        <v>2.0528593750000001E-2</v>
      </c>
      <c r="BI137">
        <f t="shared" si="211"/>
        <v>2.8999999999999998E-3</v>
      </c>
      <c r="BK137" s="472">
        <f t="shared" si="212"/>
        <v>77.28827327700624</v>
      </c>
      <c r="BL137" s="179">
        <f t="shared" si="213"/>
        <v>8.9099999999999995E-3</v>
      </c>
      <c r="BM137" s="179">
        <f t="shared" si="214"/>
        <v>1.6200000000000003E-2</v>
      </c>
      <c r="BN137" s="546"/>
      <c r="BP137" s="472">
        <f t="shared" si="215"/>
        <v>25.11</v>
      </c>
      <c r="BQ137" s="546">
        <f t="shared" si="216"/>
        <v>7.3800997905033279E-3</v>
      </c>
      <c r="BR137" s="546">
        <f t="shared" si="217"/>
        <v>3.6496874435392279E-3</v>
      </c>
      <c r="BS137" s="546">
        <f t="shared" si="218"/>
        <v>5.9100562706758909E-3</v>
      </c>
      <c r="BT137" s="546">
        <f t="shared" si="219"/>
        <v>1.2091024681268731E-2</v>
      </c>
      <c r="BU137" s="546"/>
      <c r="BV137" s="656">
        <f t="shared" si="220"/>
        <v>1.0712680851063834E-2</v>
      </c>
      <c r="BW137" s="472">
        <f t="shared" si="221"/>
        <v>39.743549037051011</v>
      </c>
      <c r="BX137" s="179">
        <f t="shared" si="222"/>
        <v>0.14214182231405728</v>
      </c>
      <c r="BY137" s="6">
        <f t="shared" si="223"/>
        <v>1.3608000000000002</v>
      </c>
      <c r="BZ137" s="179">
        <f t="shared" si="224"/>
        <v>0.90542426845557888</v>
      </c>
      <c r="CA137" s="6">
        <f t="shared" si="225"/>
        <v>90.542426845557884</v>
      </c>
      <c r="CB137">
        <f t="shared" si="226"/>
        <v>27</v>
      </c>
      <c r="CD137" s="581">
        <f t="shared" si="227"/>
        <v>-50</v>
      </c>
      <c r="CE137">
        <f t="shared" si="228"/>
        <v>-50</v>
      </c>
    </row>
    <row r="138" spans="5:83" x14ac:dyDescent="0.2">
      <c r="E138" s="176">
        <v>28</v>
      </c>
      <c r="F138" s="223">
        <f t="shared" si="229"/>
        <v>3.0800000000000004E-2</v>
      </c>
      <c r="G138" s="223">
        <f t="shared" si="168"/>
        <v>5.6000000000000008E-2</v>
      </c>
      <c r="H138" s="223">
        <f t="shared" si="169"/>
        <v>0.73920000000000008</v>
      </c>
      <c r="I138" s="223">
        <f t="shared" si="170"/>
        <v>0.67200000000000015</v>
      </c>
      <c r="J138" s="559">
        <f t="shared" si="171"/>
        <v>10</v>
      </c>
      <c r="K138" s="454">
        <f t="shared" si="172"/>
        <v>24.25</v>
      </c>
      <c r="L138" s="454">
        <f t="shared" si="173"/>
        <v>34.25</v>
      </c>
      <c r="M138" s="454"/>
      <c r="N138" s="223">
        <f t="shared" si="174"/>
        <v>0.70802919708029199</v>
      </c>
      <c r="O138" s="178">
        <f t="shared" si="175"/>
        <v>2.5543839068474097</v>
      </c>
      <c r="P138" s="178">
        <f t="shared" si="176"/>
        <v>4.4332282680822832</v>
      </c>
      <c r="Q138" s="223">
        <f t="shared" si="177"/>
        <v>0.10643266278530873</v>
      </c>
      <c r="R138" s="223">
        <f t="shared" si="178"/>
        <v>0.21286532557061746</v>
      </c>
      <c r="S138" s="223">
        <f t="shared" si="179"/>
        <v>24</v>
      </c>
      <c r="T138" s="223">
        <f t="shared" si="180"/>
        <v>0.41960803038524153</v>
      </c>
      <c r="U138" s="223">
        <f t="shared" si="181"/>
        <v>1.9721577428106349</v>
      </c>
      <c r="V138" s="223">
        <f t="shared" si="182"/>
        <v>0.81326092487036494</v>
      </c>
      <c r="W138" s="203">
        <f t="shared" si="183"/>
        <v>350</v>
      </c>
      <c r="X138" s="454">
        <f t="shared" si="184"/>
        <v>350</v>
      </c>
      <c r="Z138" s="223">
        <f t="shared" si="185"/>
        <v>0.43041288576309544</v>
      </c>
      <c r="AA138" s="179">
        <f t="shared" si="186"/>
        <v>0.83420229405630864</v>
      </c>
      <c r="AB138" s="179">
        <f t="shared" si="187"/>
        <v>3.2913046530372254E-2</v>
      </c>
      <c r="AC138" s="179"/>
      <c r="AD138" s="179">
        <f t="shared" si="188"/>
        <v>0.56206185567010303</v>
      </c>
      <c r="AE138" s="563">
        <f t="shared" si="189"/>
        <v>377.91889088471186</v>
      </c>
      <c r="AF138" s="546">
        <f t="shared" si="190"/>
        <v>2.8524639175257726E-2</v>
      </c>
      <c r="AH138" s="179">
        <f t="shared" si="191"/>
        <v>0.41421548508609191</v>
      </c>
      <c r="AI138" s="179">
        <f t="shared" si="192"/>
        <v>0.41421548508609191</v>
      </c>
      <c r="AJ138" s="179">
        <f t="shared" si="193"/>
        <v>1.2920114704341421</v>
      </c>
      <c r="AL138" s="563">
        <f t="shared" si="194"/>
        <v>30.800000000000004</v>
      </c>
      <c r="AM138" s="472">
        <f t="shared" si="195"/>
        <v>350</v>
      </c>
      <c r="AO138" s="472">
        <f t="shared" si="196"/>
        <v>30.800000000000004</v>
      </c>
      <c r="AP138" s="472">
        <f t="shared" si="197"/>
        <v>350</v>
      </c>
      <c r="AR138" s="6">
        <f t="shared" si="233"/>
        <v>2.8571428571428572</v>
      </c>
      <c r="AS138" s="6">
        <f t="shared" si="230"/>
        <v>1.946812779904632</v>
      </c>
      <c r="AT138" s="6">
        <f t="shared" si="231"/>
        <v>0.91033007723822523</v>
      </c>
      <c r="AU138" s="179">
        <f t="shared" si="232"/>
        <v>0.68138447296662119</v>
      </c>
      <c r="AW138" s="6">
        <f t="shared" si="201"/>
        <v>0.24984097342109446</v>
      </c>
      <c r="AX138" s="6">
        <f t="shared" si="202"/>
        <v>0.90851263062216181</v>
      </c>
      <c r="AY138" s="6">
        <f t="shared" si="203"/>
        <v>0.1180554373849993</v>
      </c>
      <c r="AZ138" s="6"/>
      <c r="BA138" s="179">
        <f t="shared" si="204"/>
        <v>0.19740666867383061</v>
      </c>
      <c r="BB138" s="179">
        <f t="shared" si="205"/>
        <v>0.13498924595982675</v>
      </c>
      <c r="BC138" s="179">
        <f t="shared" si="206"/>
        <v>0.24293055395367713</v>
      </c>
      <c r="BD138" s="179"/>
      <c r="BE138" s="546">
        <f t="shared" si="207"/>
        <v>1.3639287492914836E-2</v>
      </c>
      <c r="BF138" s="546">
        <f t="shared" si="208"/>
        <v>3.7240560956021455E-2</v>
      </c>
      <c r="BG138" s="546">
        <f t="shared" si="209"/>
        <v>4.3749999999999995E-3</v>
      </c>
      <c r="BH138" s="546">
        <f t="shared" si="210"/>
        <v>2.0528593750000001E-2</v>
      </c>
      <c r="BI138">
        <f t="shared" si="211"/>
        <v>2.8999999999999998E-3</v>
      </c>
      <c r="BK138" s="472">
        <f t="shared" si="212"/>
        <v>78.683442198936291</v>
      </c>
      <c r="BL138" s="179">
        <f t="shared" si="213"/>
        <v>9.2400000000000017E-3</v>
      </c>
      <c r="BM138" s="179">
        <f t="shared" si="214"/>
        <v>1.6800000000000002E-2</v>
      </c>
      <c r="BN138" s="546"/>
      <c r="BP138" s="472">
        <f t="shared" si="215"/>
        <v>26.040000000000003</v>
      </c>
      <c r="BQ138" s="546">
        <f t="shared" si="216"/>
        <v>7.7938785673799076E-3</v>
      </c>
      <c r="BR138" s="546">
        <f t="shared" si="217"/>
        <v>3.6444193049605211E-3</v>
      </c>
      <c r="BS138" s="546">
        <f t="shared" si="218"/>
        <v>5.9015254044240441E-3</v>
      </c>
      <c r="BT138" s="546">
        <f t="shared" si="219"/>
        <v>1.2653362254110945E-2</v>
      </c>
      <c r="BU138" s="546"/>
      <c r="BV138" s="656">
        <f t="shared" si="220"/>
        <v>1.1109446808510641E-2</v>
      </c>
      <c r="BW138" s="472">
        <f t="shared" si="221"/>
        <v>41.102632339386062</v>
      </c>
      <c r="BX138" s="179">
        <f t="shared" si="222"/>
        <v>0.14582607453832236</v>
      </c>
      <c r="BY138" s="6">
        <f t="shared" si="223"/>
        <v>1.4112000000000002</v>
      </c>
      <c r="BZ138" s="179">
        <f t="shared" si="224"/>
        <v>0.90634320328799789</v>
      </c>
      <c r="CA138" s="6">
        <f t="shared" si="225"/>
        <v>90.634320328799788</v>
      </c>
      <c r="CB138">
        <f t="shared" si="226"/>
        <v>28.000000000000004</v>
      </c>
      <c r="CD138" s="581">
        <f t="shared" si="227"/>
        <v>-50</v>
      </c>
      <c r="CE138">
        <f t="shared" si="228"/>
        <v>-50</v>
      </c>
    </row>
    <row r="139" spans="5:83" x14ac:dyDescent="0.2">
      <c r="E139" s="176">
        <v>29</v>
      </c>
      <c r="F139" s="223">
        <f t="shared" si="229"/>
        <v>3.1899999999999998E-2</v>
      </c>
      <c r="G139" s="223">
        <f t="shared" si="168"/>
        <v>5.7999999999999996E-2</v>
      </c>
      <c r="H139" s="223">
        <f t="shared" si="169"/>
        <v>0.76559999999999995</v>
      </c>
      <c r="I139" s="223">
        <f t="shared" si="170"/>
        <v>0.69599999999999995</v>
      </c>
      <c r="J139" s="559">
        <f t="shared" si="171"/>
        <v>10</v>
      </c>
      <c r="K139" s="454">
        <f t="shared" si="172"/>
        <v>24.25</v>
      </c>
      <c r="L139" s="454">
        <f t="shared" si="173"/>
        <v>34.25</v>
      </c>
      <c r="M139" s="454"/>
      <c r="N139" s="223">
        <f t="shared" si="174"/>
        <v>0.70802919708029199</v>
      </c>
      <c r="O139" s="178">
        <f t="shared" si="175"/>
        <v>2.5543839068474097</v>
      </c>
      <c r="P139" s="178">
        <f t="shared" si="176"/>
        <v>4.4332282680822832</v>
      </c>
      <c r="Q139" s="223">
        <f t="shared" si="177"/>
        <v>0.10643266278530873</v>
      </c>
      <c r="R139" s="223">
        <f t="shared" si="178"/>
        <v>0.21286532557061746</v>
      </c>
      <c r="S139" s="223">
        <f t="shared" si="179"/>
        <v>24</v>
      </c>
      <c r="T139" s="223">
        <f t="shared" si="180"/>
        <v>0.43459403147042858</v>
      </c>
      <c r="U139" s="223">
        <f t="shared" si="181"/>
        <v>2.0425919479110144</v>
      </c>
      <c r="V139" s="223">
        <f t="shared" si="182"/>
        <v>0.84230595790144913</v>
      </c>
      <c r="W139" s="203">
        <f t="shared" si="183"/>
        <v>350</v>
      </c>
      <c r="X139" s="454">
        <f t="shared" si="184"/>
        <v>346.63271722205837</v>
      </c>
      <c r="Z139" s="223">
        <f t="shared" si="185"/>
        <v>0.43041288576309544</v>
      </c>
      <c r="AA139" s="179">
        <f t="shared" si="186"/>
        <v>0.83420229405630864</v>
      </c>
      <c r="AB139" s="179">
        <f t="shared" si="187"/>
        <v>3.2913046530372254E-2</v>
      </c>
      <c r="AC139" s="179"/>
      <c r="AD139" s="179">
        <f t="shared" si="188"/>
        <v>0.56206185567010303</v>
      </c>
      <c r="AE139" s="563">
        <f t="shared" si="189"/>
        <v>391.4159941305943</v>
      </c>
      <c r="AF139" s="546">
        <f t="shared" si="190"/>
        <v>2.8524639175257726E-2</v>
      </c>
      <c r="AH139" s="179">
        <f t="shared" si="191"/>
        <v>0.42154730180559147</v>
      </c>
      <c r="AI139" s="179">
        <f t="shared" si="192"/>
        <v>0.42154730180559147</v>
      </c>
      <c r="AJ139" s="179">
        <f t="shared" si="193"/>
        <v>1.2974424457819196</v>
      </c>
      <c r="AL139" s="563">
        <f t="shared" si="194"/>
        <v>31.9</v>
      </c>
      <c r="AM139" s="472">
        <f t="shared" si="195"/>
        <v>346.63271722205837</v>
      </c>
      <c r="AO139" s="472">
        <f t="shared" si="196"/>
        <v>31.9</v>
      </c>
      <c r="AP139" s="472">
        <f t="shared" si="197"/>
        <v>346.63271722205837</v>
      </c>
      <c r="AR139" s="6">
        <f t="shared" si="233"/>
        <v>2.8848979058124633</v>
      </c>
      <c r="AS139" s="6">
        <f t="shared" si="230"/>
        <v>1.9812723184862797</v>
      </c>
      <c r="AT139" s="6">
        <f t="shared" si="231"/>
        <v>0.90362558732618359</v>
      </c>
      <c r="AU139" s="179">
        <f t="shared" si="232"/>
        <v>0.6867738073137466</v>
      </c>
      <c r="AW139" s="6">
        <f t="shared" si="201"/>
        <v>0.26334411233213462</v>
      </c>
      <c r="AX139" s="6">
        <f t="shared" si="202"/>
        <v>0.95761495393503526</v>
      </c>
      <c r="AY139" s="6">
        <f t="shared" si="203"/>
        <v>0.12137118415033787</v>
      </c>
      <c r="AZ139" s="6"/>
      <c r="BA139" s="179">
        <f t="shared" si="204"/>
        <v>0.20169379992166292</v>
      </c>
      <c r="BB139" s="179">
        <f t="shared" si="205"/>
        <v>0.13621179694267191</v>
      </c>
      <c r="BC139" s="179">
        <f t="shared" si="206"/>
        <v>0.24513069208607005</v>
      </c>
      <c r="BD139" s="179"/>
      <c r="BE139" s="546">
        <f t="shared" si="207"/>
        <v>1.4238136124393926E-2</v>
      </c>
      <c r="BF139" s="546">
        <f t="shared" si="208"/>
        <v>3.7535111011429506E-2</v>
      </c>
      <c r="BG139" s="546">
        <f t="shared" si="209"/>
        <v>4.332908965275729E-3</v>
      </c>
      <c r="BH139" s="546">
        <f t="shared" si="210"/>
        <v>2.0331092092315043E-2</v>
      </c>
      <c r="BI139">
        <f t="shared" si="211"/>
        <v>2.8999999999999998E-3</v>
      </c>
      <c r="BK139" s="472">
        <f t="shared" si="212"/>
        <v>79.337248193414197</v>
      </c>
      <c r="BL139" s="179">
        <f t="shared" si="213"/>
        <v>9.5699999999999986E-3</v>
      </c>
      <c r="BM139" s="179">
        <f t="shared" si="214"/>
        <v>1.7399999999999999E-2</v>
      </c>
      <c r="BN139" s="546"/>
      <c r="BP139" s="472">
        <f t="shared" si="215"/>
        <v>26.97</v>
      </c>
      <c r="BQ139" s="546">
        <f t="shared" si="216"/>
        <v>8.1360777853679584E-3</v>
      </c>
      <c r="BR139" s="546">
        <f t="shared" si="217"/>
        <v>3.7107307252703375E-3</v>
      </c>
      <c r="BS139" s="546">
        <f t="shared" si="218"/>
        <v>6.0089056202595687E-3</v>
      </c>
      <c r="BT139" s="546">
        <f t="shared" si="219"/>
        <v>1.2905049297644553E-2</v>
      </c>
      <c r="BU139" s="546"/>
      <c r="BV139" s="656">
        <f t="shared" si="220"/>
        <v>1.1395513702854184E-2</v>
      </c>
      <c r="BW139" s="472">
        <f t="shared" si="221"/>
        <v>42.1562771313966</v>
      </c>
      <c r="BX139" s="179">
        <f t="shared" si="222"/>
        <v>0.1484635253248108</v>
      </c>
      <c r="BY139" s="6">
        <f t="shared" si="223"/>
        <v>1.4615999999999998</v>
      </c>
      <c r="BZ139" s="179">
        <f t="shared" si="224"/>
        <v>0.90779026852691413</v>
      </c>
      <c r="CA139" s="6">
        <f t="shared" si="225"/>
        <v>90.779026852691416</v>
      </c>
      <c r="CB139">
        <f t="shared" si="226"/>
        <v>28.999999999999996</v>
      </c>
      <c r="CD139" s="581">
        <f t="shared" si="227"/>
        <v>-50</v>
      </c>
      <c r="CE139">
        <f t="shared" si="228"/>
        <v>-50</v>
      </c>
    </row>
    <row r="140" spans="5:83" x14ac:dyDescent="0.2">
      <c r="E140" s="176">
        <v>30</v>
      </c>
      <c r="F140" s="223">
        <f t="shared" si="229"/>
        <v>3.3000000000000002E-2</v>
      </c>
      <c r="G140" s="223">
        <f t="shared" si="168"/>
        <v>0.06</v>
      </c>
      <c r="H140" s="223">
        <f t="shared" si="169"/>
        <v>0.79200000000000004</v>
      </c>
      <c r="I140" s="223">
        <f t="shared" si="170"/>
        <v>0.72</v>
      </c>
      <c r="J140" s="559">
        <f t="shared" si="171"/>
        <v>10</v>
      </c>
      <c r="K140" s="454">
        <f t="shared" si="172"/>
        <v>24.25</v>
      </c>
      <c r="L140" s="454">
        <f t="shared" si="173"/>
        <v>34.25</v>
      </c>
      <c r="M140" s="454"/>
      <c r="N140" s="223">
        <f t="shared" si="174"/>
        <v>0.70802919708029199</v>
      </c>
      <c r="O140" s="178">
        <f t="shared" si="175"/>
        <v>2.5543839068474097</v>
      </c>
      <c r="P140" s="178">
        <f t="shared" si="176"/>
        <v>4.4332282680822832</v>
      </c>
      <c r="Q140" s="223">
        <f t="shared" si="177"/>
        <v>0.10643266278530873</v>
      </c>
      <c r="R140" s="223">
        <f t="shared" si="178"/>
        <v>0.21286532557061746</v>
      </c>
      <c r="S140" s="223">
        <f t="shared" si="179"/>
        <v>24</v>
      </c>
      <c r="T140" s="223">
        <f t="shared" si="180"/>
        <v>0.44958003255561585</v>
      </c>
      <c r="U140" s="223">
        <f t="shared" si="181"/>
        <v>2.1130261530113947</v>
      </c>
      <c r="V140" s="223">
        <f t="shared" si="182"/>
        <v>0.87135099093253376</v>
      </c>
      <c r="W140" s="203">
        <f t="shared" si="183"/>
        <v>350</v>
      </c>
      <c r="X140" s="454">
        <f t="shared" si="184"/>
        <v>335.07829331465632</v>
      </c>
      <c r="Z140" s="223">
        <f t="shared" si="185"/>
        <v>0.43041288576309544</v>
      </c>
      <c r="AA140" s="179">
        <f t="shared" si="186"/>
        <v>0.83420229405630864</v>
      </c>
      <c r="AB140" s="179">
        <f t="shared" si="187"/>
        <v>3.2913046530372254E-2</v>
      </c>
      <c r="AC140" s="179"/>
      <c r="AD140" s="179">
        <f t="shared" si="188"/>
        <v>0.56206185567010303</v>
      </c>
      <c r="AE140" s="563">
        <f t="shared" si="189"/>
        <v>404.91309737647686</v>
      </c>
      <c r="AF140" s="546">
        <f t="shared" si="190"/>
        <v>2.8524639175257726E-2</v>
      </c>
      <c r="AH140" s="179">
        <f t="shared" si="191"/>
        <v>0.42875376060629783</v>
      </c>
      <c r="AI140" s="179">
        <f t="shared" si="192"/>
        <v>0.44958003255561585</v>
      </c>
      <c r="AJ140" s="179">
        <f t="shared" si="193"/>
        <v>1.3182074315226784</v>
      </c>
      <c r="AL140" s="563">
        <f t="shared" si="194"/>
        <v>33</v>
      </c>
      <c r="AM140" s="472">
        <f t="shared" si="195"/>
        <v>335.07829331465632</v>
      </c>
      <c r="AO140" s="472">
        <f t="shared" si="196"/>
        <v>33</v>
      </c>
      <c r="AP140" s="472">
        <f t="shared" si="197"/>
        <v>335.07829331465632</v>
      </c>
      <c r="AR140" s="6">
        <f t="shared" si="233"/>
        <v>2.9843771439439286</v>
      </c>
      <c r="AS140" s="6">
        <f t="shared" si="230"/>
        <v>2.1130261530113947</v>
      </c>
      <c r="AT140" s="6">
        <f t="shared" si="231"/>
        <v>0.87135099093253388</v>
      </c>
      <c r="AU140" s="179">
        <f t="shared" si="232"/>
        <v>0.70802919708029199</v>
      </c>
      <c r="AW140" s="6">
        <f t="shared" si="201"/>
        <v>0.2905410960390668</v>
      </c>
      <c r="AX140" s="6">
        <f t="shared" si="202"/>
        <v>1.0565130765056971</v>
      </c>
      <c r="AY140" s="6">
        <f t="shared" si="203"/>
        <v>0.12107192716115207</v>
      </c>
      <c r="AZ140" s="6"/>
      <c r="BA140" s="179">
        <f t="shared" si="204"/>
        <v>0.21840972429094935</v>
      </c>
      <c r="BB140" s="179">
        <f t="shared" si="205"/>
        <v>0.14025427227974566</v>
      </c>
      <c r="BC140" s="179">
        <f t="shared" si="206"/>
        <v>0.25240564770195417</v>
      </c>
      <c r="BD140" s="179"/>
      <c r="BE140" s="546">
        <f t="shared" si="207"/>
        <v>1.6695982682696977E-2</v>
      </c>
      <c r="BF140" s="546">
        <f t="shared" si="208"/>
        <v>3.8696808510638288E-2</v>
      </c>
      <c r="BG140" s="546">
        <f t="shared" si="209"/>
        <v>4.1884786664332044E-3</v>
      </c>
      <c r="BH140" s="546">
        <f t="shared" si="210"/>
        <v>1.9653389022571202E-2</v>
      </c>
      <c r="BI140">
        <f t="shared" si="211"/>
        <v>2.8999999999999998E-3</v>
      </c>
      <c r="BK140" s="472">
        <f t="shared" si="212"/>
        <v>82.134658882339664</v>
      </c>
      <c r="BL140" s="179">
        <f t="shared" si="213"/>
        <v>9.9000000000000008E-3</v>
      </c>
      <c r="BM140" s="179">
        <f t="shared" si="214"/>
        <v>1.7999999999999999E-2</v>
      </c>
      <c r="BN140" s="546"/>
      <c r="BP140" s="472">
        <f t="shared" si="215"/>
        <v>27.900000000000002</v>
      </c>
      <c r="BQ140" s="546">
        <f t="shared" si="216"/>
        <v>9.5405615329697026E-3</v>
      </c>
      <c r="BR140" s="546">
        <f t="shared" si="217"/>
        <v>3.9342521785442064E-3</v>
      </c>
      <c r="BS140" s="546">
        <f t="shared" si="218"/>
        <v>6.3708610991843016E-3</v>
      </c>
      <c r="BT140" s="546">
        <f t="shared" si="219"/>
        <v>1.3926862161630816E-2</v>
      </c>
      <c r="BU140" s="546"/>
      <c r="BV140" s="656">
        <f t="shared" si="220"/>
        <v>1.2529451287793952E-2</v>
      </c>
      <c r="BW140" s="472">
        <f t="shared" si="221"/>
        <v>46.301988260122982</v>
      </c>
      <c r="BX140" s="179">
        <f t="shared" si="222"/>
        <v>0.15633664714246262</v>
      </c>
      <c r="BY140" s="6">
        <f t="shared" si="223"/>
        <v>1.512</v>
      </c>
      <c r="BZ140" s="179">
        <f t="shared" si="224"/>
        <v>0.90629190612683785</v>
      </c>
      <c r="CA140" s="6">
        <f t="shared" si="225"/>
        <v>90.629190612683786</v>
      </c>
      <c r="CB140">
        <f t="shared" si="226"/>
        <v>30</v>
      </c>
      <c r="CD140" s="581">
        <f t="shared" si="227"/>
        <v>-50</v>
      </c>
      <c r="CE140">
        <f t="shared" si="228"/>
        <v>-50</v>
      </c>
    </row>
    <row r="141" spans="5:83" x14ac:dyDescent="0.2">
      <c r="E141" s="176">
        <v>31</v>
      </c>
      <c r="F141" s="223">
        <f t="shared" si="229"/>
        <v>3.4099999999999998E-2</v>
      </c>
      <c r="G141" s="223">
        <f t="shared" si="168"/>
        <v>6.2E-2</v>
      </c>
      <c r="H141" s="223">
        <f t="shared" si="169"/>
        <v>0.81840000000000002</v>
      </c>
      <c r="I141" s="223">
        <f t="shared" si="170"/>
        <v>0.74399999999999999</v>
      </c>
      <c r="J141" s="559">
        <f t="shared" si="171"/>
        <v>10</v>
      </c>
      <c r="K141" s="454">
        <f t="shared" si="172"/>
        <v>24.25</v>
      </c>
      <c r="L141" s="454">
        <f t="shared" si="173"/>
        <v>34.25</v>
      </c>
      <c r="M141" s="454"/>
      <c r="N141" s="223">
        <f t="shared" si="174"/>
        <v>0.70802919708029199</v>
      </c>
      <c r="O141" s="178">
        <f t="shared" si="175"/>
        <v>2.5543839068474097</v>
      </c>
      <c r="P141" s="178">
        <f t="shared" si="176"/>
        <v>4.4332282680822832</v>
      </c>
      <c r="Q141" s="223">
        <f t="shared" si="177"/>
        <v>0.10643266278530873</v>
      </c>
      <c r="R141" s="223">
        <f t="shared" si="178"/>
        <v>0.21286532557061746</v>
      </c>
      <c r="S141" s="223">
        <f t="shared" si="179"/>
        <v>24</v>
      </c>
      <c r="T141" s="223">
        <f t="shared" si="180"/>
        <v>0.46456603364080301</v>
      </c>
      <c r="U141" s="223">
        <f t="shared" si="181"/>
        <v>2.1834603581117737</v>
      </c>
      <c r="V141" s="223">
        <f t="shared" si="182"/>
        <v>0.90039602396361806</v>
      </c>
      <c r="W141" s="203">
        <f t="shared" si="183"/>
        <v>350</v>
      </c>
      <c r="X141" s="454">
        <f t="shared" si="184"/>
        <v>324.26931611095785</v>
      </c>
      <c r="Z141" s="223">
        <f t="shared" si="185"/>
        <v>0.43041288576309544</v>
      </c>
      <c r="AA141" s="179">
        <f t="shared" si="186"/>
        <v>0.83420229405630864</v>
      </c>
      <c r="AB141" s="179">
        <f t="shared" si="187"/>
        <v>3.2913046530372254E-2</v>
      </c>
      <c r="AC141" s="179"/>
      <c r="AD141" s="179">
        <f t="shared" si="188"/>
        <v>0.56206185567010303</v>
      </c>
      <c r="AE141" s="563">
        <f t="shared" si="189"/>
        <v>418.41020062235947</v>
      </c>
      <c r="AF141" s="546">
        <f t="shared" si="190"/>
        <v>2.8524639175257726E-2</v>
      </c>
      <c r="AH141" s="179">
        <f t="shared" si="191"/>
        <v>0.43584107976246417</v>
      </c>
      <c r="AI141" s="179">
        <f t="shared" si="192"/>
        <v>0.46456603364080301</v>
      </c>
      <c r="AJ141" s="179">
        <f t="shared" si="193"/>
        <v>1.3293081730672616</v>
      </c>
      <c r="AL141" s="563">
        <f t="shared" si="194"/>
        <v>34.1</v>
      </c>
      <c r="AM141" s="472">
        <f t="shared" si="195"/>
        <v>324.26931611095785</v>
      </c>
      <c r="AO141" s="472">
        <f t="shared" si="196"/>
        <v>34.1</v>
      </c>
      <c r="AP141" s="472">
        <f t="shared" si="197"/>
        <v>324.26931611095785</v>
      </c>
      <c r="AR141" s="6">
        <f t="shared" si="233"/>
        <v>3.0838563820753917</v>
      </c>
      <c r="AS141" s="6">
        <f t="shared" si="230"/>
        <v>2.1834603581117737</v>
      </c>
      <c r="AT141" s="6">
        <f t="shared" si="231"/>
        <v>0.90039602396361795</v>
      </c>
      <c r="AU141" s="179">
        <f t="shared" si="232"/>
        <v>0.70802919708029199</v>
      </c>
      <c r="AW141" s="6">
        <f t="shared" si="201"/>
        <v>0.31023332588171454</v>
      </c>
      <c r="AX141" s="6">
        <f t="shared" si="202"/>
        <v>1.1281211850244164</v>
      </c>
      <c r="AY141" s="6">
        <f t="shared" si="203"/>
        <v>0.12927791333540786</v>
      </c>
      <c r="AZ141" s="6"/>
      <c r="BA141" s="179">
        <f t="shared" si="204"/>
        <v>0.22569004843398097</v>
      </c>
      <c r="BB141" s="179">
        <f t="shared" si="205"/>
        <v>0.1449294146890705</v>
      </c>
      <c r="BC141" s="179">
        <f t="shared" si="206"/>
        <v>0.26081916929201926</v>
      </c>
      <c r="BD141" s="179"/>
      <c r="BE141" s="546">
        <f t="shared" si="207"/>
        <v>1.7827599286746435E-2</v>
      </c>
      <c r="BF141" s="546">
        <f t="shared" si="208"/>
        <v>3.8696808510638302E-2</v>
      </c>
      <c r="BG141" s="546">
        <f t="shared" si="209"/>
        <v>4.0533664513869722E-3</v>
      </c>
      <c r="BH141" s="546">
        <f t="shared" si="210"/>
        <v>1.9019408731520526E-2</v>
      </c>
      <c r="BI141">
        <f t="shared" si="211"/>
        <v>2.8999999999999998E-3</v>
      </c>
      <c r="BK141" s="472">
        <f t="shared" si="212"/>
        <v>82.497182980292237</v>
      </c>
      <c r="BL141" s="179">
        <f t="shared" si="213"/>
        <v>1.023E-2</v>
      </c>
      <c r="BM141" s="179">
        <f t="shared" si="214"/>
        <v>1.8599999999999998E-2</v>
      </c>
      <c r="BN141" s="546"/>
      <c r="BP141" s="472">
        <f t="shared" si="215"/>
        <v>28.83</v>
      </c>
      <c r="BQ141" s="546">
        <f t="shared" si="216"/>
        <v>1.0187199592426536E-2</v>
      </c>
      <c r="BR141" s="546">
        <f t="shared" si="217"/>
        <v>4.2009070484233134E-3</v>
      </c>
      <c r="BS141" s="546">
        <f t="shared" si="218"/>
        <v>6.8026639070179005E-3</v>
      </c>
      <c r="BT141" s="546">
        <f t="shared" si="219"/>
        <v>1.3926862161630828E-2</v>
      </c>
      <c r="BU141" s="546"/>
      <c r="BV141" s="656">
        <f t="shared" si="220"/>
        <v>1.2947099664053753E-2</v>
      </c>
      <c r="BW141" s="472">
        <f t="shared" si="221"/>
        <v>48.064732373552332</v>
      </c>
      <c r="BX141" s="179">
        <f t="shared" si="222"/>
        <v>0.15939191535384456</v>
      </c>
      <c r="BY141" s="6">
        <f t="shared" si="223"/>
        <v>1.5624</v>
      </c>
      <c r="BZ141" s="179">
        <f t="shared" si="224"/>
        <v>0.90742672564989479</v>
      </c>
      <c r="CA141" s="6">
        <f t="shared" si="225"/>
        <v>90.742672564989476</v>
      </c>
      <c r="CB141">
        <f t="shared" si="226"/>
        <v>31</v>
      </c>
      <c r="CD141" s="581">
        <f t="shared" si="227"/>
        <v>-50</v>
      </c>
      <c r="CE141">
        <f t="shared" si="228"/>
        <v>-50</v>
      </c>
    </row>
    <row r="142" spans="5:83" x14ac:dyDescent="0.2">
      <c r="E142" s="176">
        <v>32</v>
      </c>
      <c r="F142" s="223">
        <f t="shared" si="229"/>
        <v>3.5200000000000002E-2</v>
      </c>
      <c r="G142" s="223">
        <f t="shared" ref="G142:G173" si="234">IF(PLOT_TYPE=1, E142/100*Iout2, min_I*EXP(Q142*rr/100))</f>
        <v>6.4000000000000001E-2</v>
      </c>
      <c r="H142" s="223">
        <f t="shared" ref="H142:H173" si="235">F142*Vout</f>
        <v>0.8448</v>
      </c>
      <c r="I142" s="223">
        <f t="shared" ref="I142:I173" si="236">Vout2*G142</f>
        <v>0.76800000000000002</v>
      </c>
      <c r="J142" s="559">
        <f t="shared" si="171"/>
        <v>10</v>
      </c>
      <c r="K142" s="454">
        <f t="shared" si="172"/>
        <v>24.25</v>
      </c>
      <c r="L142" s="454">
        <f t="shared" si="173"/>
        <v>34.25</v>
      </c>
      <c r="M142" s="454"/>
      <c r="N142" s="223">
        <f t="shared" si="174"/>
        <v>0.70802919708029199</v>
      </c>
      <c r="O142" s="178">
        <f t="shared" ref="O142:O173" si="237">N142*J142*Isw_max*0.5*Efficiency*Pout/(Pout+Pout2)</f>
        <v>2.5543839068474097</v>
      </c>
      <c r="P142" s="178">
        <f t="shared" ref="P142:P173" si="238">N142*J142*Isw_max*0.5*Efficiency*(Pout2/Pout_total)</f>
        <v>4.4332282680822832</v>
      </c>
      <c r="Q142" s="223">
        <f t="shared" si="177"/>
        <v>0.10643266278530873</v>
      </c>
      <c r="R142" s="223">
        <f t="shared" ref="R142:R173" si="239">O142/Vout2</f>
        <v>0.21286532557061746</v>
      </c>
      <c r="S142" s="223">
        <f t="shared" ref="S142:S173" si="240">MIN(Vout,O142/F142)</f>
        <v>24</v>
      </c>
      <c r="T142" s="223">
        <f t="shared" ref="T142:T173" si="241">MIN(2*(Vout*F142+Vout2*G142)/(Efficiency*J142*N142), Isw_max)</f>
        <v>0.47955203472599023</v>
      </c>
      <c r="U142" s="223">
        <f t="shared" si="181"/>
        <v>2.2538945632121541</v>
      </c>
      <c r="V142" s="223">
        <f t="shared" si="182"/>
        <v>0.9294410569947027</v>
      </c>
      <c r="W142" s="203">
        <f t="shared" si="183"/>
        <v>350</v>
      </c>
      <c r="X142" s="454">
        <f t="shared" si="184"/>
        <v>314.13589998249029</v>
      </c>
      <c r="Z142" s="223">
        <f t="shared" si="185"/>
        <v>0.43041288576309544</v>
      </c>
      <c r="AA142" s="179">
        <f t="shared" si="186"/>
        <v>0.83420229405630864</v>
      </c>
      <c r="AB142" s="179">
        <f t="shared" ref="AB142:AB173" si="242">0.5*AA142*Z142*Nps*W142/1000*(Pout/(Pout+Pout2))</f>
        <v>3.2913046530372254E-2</v>
      </c>
      <c r="AC142" s="179"/>
      <c r="AD142" s="179">
        <f t="shared" si="188"/>
        <v>0.56206185567010303</v>
      </c>
      <c r="AE142" s="563">
        <f t="shared" ref="AE142:AE173" si="243">MAX(10, F142/(0.5*AD142/1000000*Isw_min*Nps)/1000*Pout_total/Pout)</f>
        <v>431.90730386824202</v>
      </c>
      <c r="AF142" s="546">
        <f t="shared" ref="AF142:AF173" si="244">0.5*AD142/1000000*Isw_min*Nps*W142*1000*(Pout/Pout_total)</f>
        <v>2.8524639175257726E-2</v>
      </c>
      <c r="AH142" s="179">
        <f t="shared" ref="AH142:AH173" si="245">SQRT((H142+I142)/(0.5*L*Fsw_DCM))</f>
        <v>0.44281497985386487</v>
      </c>
      <c r="AI142" s="179">
        <f t="shared" ref="AI142:AI173" si="246">MAX(IF(F142&gt;AB142,T142,AH142),Isw_min)</f>
        <v>0.47955203472599023</v>
      </c>
      <c r="AJ142" s="179">
        <f t="shared" ref="AJ142:AJ173" si="247">IF(F142&gt;AF142, (AI142-Isw_min)/1.08*0.8+1.2, AE142*0.2/350+1)</f>
        <v>1.3404089146118445</v>
      </c>
      <c r="AL142" s="563">
        <f t="shared" ref="AL142:AL173" si="248">F142*1000</f>
        <v>35.200000000000003</v>
      </c>
      <c r="AM142" s="472">
        <f t="shared" ref="AM142:AM173" si="249">IF(F142&gt;AF142, X142, AE142)</f>
        <v>314.13589998249029</v>
      </c>
      <c r="AO142" s="472">
        <f t="shared" si="196"/>
        <v>35.200000000000003</v>
      </c>
      <c r="AP142" s="472">
        <f t="shared" si="197"/>
        <v>314.13589998249029</v>
      </c>
      <c r="AR142" s="6">
        <f t="shared" si="233"/>
        <v>3.1833356202068575</v>
      </c>
      <c r="AS142" s="6">
        <f t="shared" si="230"/>
        <v>2.2538945632121541</v>
      </c>
      <c r="AT142" s="6">
        <f t="shared" si="231"/>
        <v>0.92944105699470336</v>
      </c>
      <c r="AU142" s="179">
        <f t="shared" si="232"/>
        <v>0.70802919708029177</v>
      </c>
      <c r="AW142" s="6">
        <f t="shared" si="201"/>
        <v>0.33057120260444933</v>
      </c>
      <c r="AX142" s="6">
        <f t="shared" si="202"/>
        <v>1.2020771003798156</v>
      </c>
      <c r="AY142" s="6">
        <f t="shared" si="203"/>
        <v>0.13775294823668865</v>
      </c>
      <c r="AZ142" s="6"/>
      <c r="BA142" s="179">
        <f t="shared" si="204"/>
        <v>0.23297037257701259</v>
      </c>
      <c r="BB142" s="179">
        <f t="shared" si="205"/>
        <v>0.1496045570983954</v>
      </c>
      <c r="BC142" s="179">
        <f t="shared" si="206"/>
        <v>0.26923269088208457</v>
      </c>
      <c r="BD142" s="179"/>
      <c r="BE142" s="546">
        <f t="shared" si="207"/>
        <v>1.899631807453522E-2</v>
      </c>
      <c r="BF142" s="546">
        <f t="shared" si="208"/>
        <v>3.8696808510638288E-2</v>
      </c>
      <c r="BG142" s="546">
        <f t="shared" si="209"/>
        <v>3.926698749781128E-3</v>
      </c>
      <c r="BH142" s="546">
        <f t="shared" si="210"/>
        <v>1.8425052208660503E-2</v>
      </c>
      <c r="BI142">
        <f t="shared" si="211"/>
        <v>2.8999999999999998E-3</v>
      </c>
      <c r="BK142" s="472">
        <f t="shared" si="212"/>
        <v>82.944877543615135</v>
      </c>
      <c r="BL142" s="179">
        <f t="shared" si="213"/>
        <v>1.056E-2</v>
      </c>
      <c r="BM142" s="179">
        <f t="shared" si="214"/>
        <v>1.9199999999999998E-2</v>
      </c>
      <c r="BN142" s="546"/>
      <c r="BP142" s="472">
        <f t="shared" si="215"/>
        <v>29.759999999999998</v>
      </c>
      <c r="BQ142" s="546">
        <f t="shared" si="216"/>
        <v>1.0855038899734413E-2</v>
      </c>
      <c r="BR142" s="546">
        <f t="shared" si="217"/>
        <v>4.4763047009214107E-3</v>
      </c>
      <c r="BS142" s="546">
        <f t="shared" si="218"/>
        <v>7.2486241839608105E-3</v>
      </c>
      <c r="BT142" s="546">
        <f t="shared" si="219"/>
        <v>1.3926862161630821E-2</v>
      </c>
      <c r="BU142" s="546"/>
      <c r="BV142" s="656">
        <f t="shared" ref="BV142:BV173" si="250">0.5*Lleak*0.000000001*AI142^2*AM142*1000</f>
        <v>1.3364748040313549E-2</v>
      </c>
      <c r="BW142" s="472">
        <f t="shared" si="221"/>
        <v>49.871577986561007</v>
      </c>
      <c r="BX142" s="179">
        <f t="shared" si="222"/>
        <v>0.16257645553017613</v>
      </c>
      <c r="BY142" s="6">
        <f t="shared" si="223"/>
        <v>1.6128</v>
      </c>
      <c r="BZ142" s="179">
        <f t="shared" si="224"/>
        <v>0.90842705217602637</v>
      </c>
      <c r="CA142" s="6">
        <f t="shared" si="225"/>
        <v>90.842705217602642</v>
      </c>
      <c r="CB142">
        <f t="shared" si="226"/>
        <v>32</v>
      </c>
      <c r="CD142" s="581">
        <f t="shared" ref="CD142:CD173" si="251">IF(ABS(F142-Ioutmax_Vinmin)&lt;Iout/200, AM142, -50)</f>
        <v>-50</v>
      </c>
      <c r="CE142">
        <f t="shared" ref="CE142:CE173" si="252">IF(ABS(F142-Ioutmax_Vinmin)&lt;Iout/200, (O142+P142)*BZ142, -50)</f>
        <v>-50</v>
      </c>
    </row>
    <row r="143" spans="5:83" x14ac:dyDescent="0.2">
      <c r="E143" s="176">
        <v>33</v>
      </c>
      <c r="F143" s="223">
        <f t="shared" ref="F143:F174" si="253">IF(PLOT_TYPE=1, E143/100*Iout_max, min_I*EXP(O143*rr/100))</f>
        <v>3.6299999999999999E-2</v>
      </c>
      <c r="G143" s="223">
        <f t="shared" si="234"/>
        <v>6.6000000000000003E-2</v>
      </c>
      <c r="H143" s="223">
        <f t="shared" si="235"/>
        <v>0.87119999999999997</v>
      </c>
      <c r="I143" s="223">
        <f t="shared" si="236"/>
        <v>0.79200000000000004</v>
      </c>
      <c r="J143" s="559">
        <f t="shared" si="171"/>
        <v>10</v>
      </c>
      <c r="K143" s="454">
        <f t="shared" si="172"/>
        <v>24.25</v>
      </c>
      <c r="L143" s="454">
        <f t="shared" si="173"/>
        <v>34.25</v>
      </c>
      <c r="M143" s="454"/>
      <c r="N143" s="223">
        <f t="shared" si="174"/>
        <v>0.70802919708029199</v>
      </c>
      <c r="O143" s="178">
        <f t="shared" si="237"/>
        <v>2.5543839068474097</v>
      </c>
      <c r="P143" s="178">
        <f t="shared" si="238"/>
        <v>4.4332282680822832</v>
      </c>
      <c r="Q143" s="223">
        <f t="shared" si="177"/>
        <v>0.10643266278530873</v>
      </c>
      <c r="R143" s="223">
        <f t="shared" si="239"/>
        <v>0.21286532557061746</v>
      </c>
      <c r="S143" s="223">
        <f t="shared" si="240"/>
        <v>24</v>
      </c>
      <c r="T143" s="223">
        <f t="shared" si="241"/>
        <v>0.49453803581117739</v>
      </c>
      <c r="U143" s="223">
        <f t="shared" si="181"/>
        <v>2.3243287683125335</v>
      </c>
      <c r="V143" s="223">
        <f t="shared" si="182"/>
        <v>0.958486090025787</v>
      </c>
      <c r="W143" s="203">
        <f t="shared" si="183"/>
        <v>350</v>
      </c>
      <c r="X143" s="454">
        <f t="shared" si="184"/>
        <v>304.6166302860513</v>
      </c>
      <c r="Z143" s="223">
        <f t="shared" si="185"/>
        <v>0.43041288576309544</v>
      </c>
      <c r="AA143" s="179">
        <f t="shared" si="186"/>
        <v>0.83420229405630864</v>
      </c>
      <c r="AB143" s="179">
        <f t="shared" si="242"/>
        <v>3.2913046530372254E-2</v>
      </c>
      <c r="AC143" s="179"/>
      <c r="AD143" s="179">
        <f t="shared" si="188"/>
        <v>0.56206185567010303</v>
      </c>
      <c r="AE143" s="563">
        <f t="shared" si="243"/>
        <v>445.40440711412464</v>
      </c>
      <c r="AF143" s="546">
        <f t="shared" si="244"/>
        <v>2.8524639175257726E-2</v>
      </c>
      <c r="AH143" s="179">
        <f t="shared" si="245"/>
        <v>0.44968073781011214</v>
      </c>
      <c r="AI143" s="179">
        <f t="shared" si="246"/>
        <v>0.49453803581117739</v>
      </c>
      <c r="AJ143" s="179">
        <f t="shared" si="247"/>
        <v>1.3515096561564277</v>
      </c>
      <c r="AL143" s="563">
        <f t="shared" si="248"/>
        <v>36.299999999999997</v>
      </c>
      <c r="AM143" s="472">
        <f t="shared" si="249"/>
        <v>304.6166302860513</v>
      </c>
      <c r="AO143" s="472">
        <f t="shared" si="196"/>
        <v>36.299999999999997</v>
      </c>
      <c r="AP143" s="472">
        <f t="shared" si="197"/>
        <v>304.6166302860513</v>
      </c>
      <c r="AR143" s="6">
        <f t="shared" si="233"/>
        <v>3.2828148583383205</v>
      </c>
      <c r="AS143" s="6">
        <f t="shared" si="230"/>
        <v>2.3243287683125335</v>
      </c>
      <c r="AT143" s="6">
        <f t="shared" si="231"/>
        <v>0.958486090025787</v>
      </c>
      <c r="AU143" s="179">
        <f t="shared" si="232"/>
        <v>0.70802919708029199</v>
      </c>
      <c r="AW143" s="6">
        <f t="shared" si="201"/>
        <v>0.35155472620727068</v>
      </c>
      <c r="AX143" s="6">
        <f t="shared" si="202"/>
        <v>1.2783808225718936</v>
      </c>
      <c r="AY143" s="6">
        <f t="shared" si="203"/>
        <v>0.14649703186499394</v>
      </c>
      <c r="AZ143" s="6"/>
      <c r="BA143" s="179">
        <f t="shared" si="204"/>
        <v>0.24025069672004426</v>
      </c>
      <c r="BB143" s="179">
        <f t="shared" si="205"/>
        <v>0.15427969950772022</v>
      </c>
      <c r="BC143" s="179">
        <f t="shared" si="206"/>
        <v>0.27764621247214955</v>
      </c>
      <c r="BD143" s="179"/>
      <c r="BE143" s="546">
        <f t="shared" si="207"/>
        <v>2.0202139046063338E-2</v>
      </c>
      <c r="BF143" s="546">
        <f t="shared" si="208"/>
        <v>3.8696808510638302E-2</v>
      </c>
      <c r="BG143" s="546">
        <f t="shared" si="209"/>
        <v>3.8077078785756411E-3</v>
      </c>
      <c r="BH143" s="546">
        <f t="shared" si="210"/>
        <v>1.7866717293246553E-2</v>
      </c>
      <c r="BI143">
        <f t="shared" si="211"/>
        <v>2.8999999999999998E-3</v>
      </c>
      <c r="BK143" s="472">
        <f t="shared" si="212"/>
        <v>83.473372728523827</v>
      </c>
      <c r="BL143" s="179">
        <f t="shared" si="213"/>
        <v>1.0889999999999999E-2</v>
      </c>
      <c r="BM143" s="179">
        <f t="shared" si="214"/>
        <v>1.9800000000000002E-2</v>
      </c>
      <c r="BN143" s="546"/>
      <c r="BP143" s="472">
        <f t="shared" si="215"/>
        <v>30.69</v>
      </c>
      <c r="BQ143" s="546">
        <f t="shared" si="216"/>
        <v>1.1544079454893337E-2</v>
      </c>
      <c r="BR143" s="546">
        <f t="shared" si="217"/>
        <v>4.7604451360384898E-3</v>
      </c>
      <c r="BS143" s="546">
        <f t="shared" si="218"/>
        <v>7.7087419300130014E-3</v>
      </c>
      <c r="BT143" s="546">
        <f t="shared" si="219"/>
        <v>1.392686216163086E-2</v>
      </c>
      <c r="BU143" s="546"/>
      <c r="BV143" s="656">
        <f t="shared" si="250"/>
        <v>1.3782396416573351E-2</v>
      </c>
      <c r="BW143" s="472">
        <f t="shared" si="221"/>
        <v>51.722525099149038</v>
      </c>
      <c r="BX143" s="179">
        <f t="shared" si="222"/>
        <v>0.16588589782767288</v>
      </c>
      <c r="BY143" s="6">
        <f t="shared" si="223"/>
        <v>1.6632</v>
      </c>
      <c r="BZ143" s="179">
        <f t="shared" si="224"/>
        <v>0.90930666622891332</v>
      </c>
      <c r="CA143" s="6">
        <f t="shared" si="225"/>
        <v>90.930666622891337</v>
      </c>
      <c r="CB143">
        <f t="shared" si="226"/>
        <v>33</v>
      </c>
      <c r="CD143" s="581">
        <f t="shared" si="251"/>
        <v>-50</v>
      </c>
      <c r="CE143">
        <f t="shared" si="252"/>
        <v>-50</v>
      </c>
    </row>
    <row r="144" spans="5:83" x14ac:dyDescent="0.2">
      <c r="E144" s="176">
        <v>34</v>
      </c>
      <c r="F144" s="223">
        <f t="shared" si="253"/>
        <v>3.7400000000000003E-2</v>
      </c>
      <c r="G144" s="223">
        <f t="shared" si="234"/>
        <v>6.8000000000000005E-2</v>
      </c>
      <c r="H144" s="223">
        <f t="shared" si="235"/>
        <v>0.89760000000000006</v>
      </c>
      <c r="I144" s="223">
        <f t="shared" si="236"/>
        <v>0.81600000000000006</v>
      </c>
      <c r="J144" s="559">
        <f t="shared" si="171"/>
        <v>10</v>
      </c>
      <c r="K144" s="454">
        <f t="shared" si="172"/>
        <v>24.25</v>
      </c>
      <c r="L144" s="454">
        <f t="shared" si="173"/>
        <v>34.25</v>
      </c>
      <c r="M144" s="454"/>
      <c r="N144" s="223">
        <f t="shared" si="174"/>
        <v>0.70802919708029199</v>
      </c>
      <c r="O144" s="178">
        <f t="shared" si="237"/>
        <v>2.5543839068474097</v>
      </c>
      <c r="P144" s="178">
        <f t="shared" si="238"/>
        <v>4.4332282680822832</v>
      </c>
      <c r="Q144" s="223">
        <f t="shared" si="177"/>
        <v>0.10643266278530873</v>
      </c>
      <c r="R144" s="223">
        <f t="shared" si="239"/>
        <v>0.21286532557061746</v>
      </c>
      <c r="S144" s="223">
        <f t="shared" si="240"/>
        <v>24</v>
      </c>
      <c r="T144" s="223">
        <f t="shared" si="241"/>
        <v>0.50952403689636461</v>
      </c>
      <c r="U144" s="223">
        <f t="shared" si="181"/>
        <v>2.3947629734129134</v>
      </c>
      <c r="V144" s="223">
        <f t="shared" si="182"/>
        <v>0.98753112305687152</v>
      </c>
      <c r="W144" s="203">
        <f t="shared" si="183"/>
        <v>350</v>
      </c>
      <c r="X144" s="454">
        <f t="shared" si="184"/>
        <v>295.6573176305792</v>
      </c>
      <c r="Z144" s="223">
        <f t="shared" si="185"/>
        <v>0.43041288576309544</v>
      </c>
      <c r="AA144" s="179">
        <f t="shared" si="186"/>
        <v>0.83420229405630864</v>
      </c>
      <c r="AB144" s="179">
        <f t="shared" si="242"/>
        <v>3.2913046530372254E-2</v>
      </c>
      <c r="AC144" s="179"/>
      <c r="AD144" s="179">
        <f t="shared" si="188"/>
        <v>0.56206185567010303</v>
      </c>
      <c r="AE144" s="563">
        <f t="shared" si="243"/>
        <v>458.90151036000725</v>
      </c>
      <c r="AF144" s="546">
        <f t="shared" si="244"/>
        <v>2.8524639175257726E-2</v>
      </c>
      <c r="AH144" s="179">
        <f t="shared" si="245"/>
        <v>0.4564432336358103</v>
      </c>
      <c r="AI144" s="179">
        <f t="shared" si="246"/>
        <v>0.50952403689636461</v>
      </c>
      <c r="AJ144" s="179">
        <f t="shared" si="247"/>
        <v>1.3626103977010109</v>
      </c>
      <c r="AL144" s="563">
        <f t="shared" si="248"/>
        <v>37.400000000000006</v>
      </c>
      <c r="AM144" s="472">
        <f t="shared" si="249"/>
        <v>295.6573176305792</v>
      </c>
      <c r="AO144" s="472">
        <f t="shared" si="196"/>
        <v>37.400000000000006</v>
      </c>
      <c r="AP144" s="472">
        <f t="shared" si="197"/>
        <v>295.6573176305792</v>
      </c>
      <c r="AR144" s="6">
        <f t="shared" si="233"/>
        <v>3.3822940964697845</v>
      </c>
      <c r="AS144" s="6">
        <f t="shared" si="230"/>
        <v>2.3947629734129134</v>
      </c>
      <c r="AT144" s="6">
        <f t="shared" si="231"/>
        <v>0.98753112305687107</v>
      </c>
      <c r="AU144" s="179">
        <f t="shared" si="232"/>
        <v>0.70802919708029211</v>
      </c>
      <c r="AW144" s="6">
        <f t="shared" si="201"/>
        <v>0.37318389669017898</v>
      </c>
      <c r="AX144" s="6">
        <f t="shared" si="202"/>
        <v>1.3570323516006511</v>
      </c>
      <c r="AY144" s="6">
        <f t="shared" si="203"/>
        <v>0.15551016422032413</v>
      </c>
      <c r="AZ144" s="6"/>
      <c r="BA144" s="179">
        <f t="shared" si="204"/>
        <v>0.24753102086307591</v>
      </c>
      <c r="BB144" s="179">
        <f t="shared" si="205"/>
        <v>0.15895484191704504</v>
      </c>
      <c r="BC144" s="179">
        <f t="shared" si="206"/>
        <v>0.28605973406221463</v>
      </c>
      <c r="BD144" s="179"/>
      <c r="BE144" s="546">
        <f t="shared" si="207"/>
        <v>2.1445062201330783E-2</v>
      </c>
      <c r="BF144" s="546">
        <f t="shared" si="208"/>
        <v>3.8696808510638295E-2</v>
      </c>
      <c r="BG144" s="546">
        <f t="shared" si="209"/>
        <v>3.69571647038224E-3</v>
      </c>
      <c r="BH144" s="546">
        <f t="shared" si="210"/>
        <v>1.7341225608151066E-2</v>
      </c>
      <c r="BI144">
        <f t="shared" si="211"/>
        <v>2.8999999999999998E-3</v>
      </c>
      <c r="BK144" s="472">
        <f t="shared" si="212"/>
        <v>84.078812790502369</v>
      </c>
      <c r="BL144" s="179">
        <f t="shared" si="213"/>
        <v>1.1220000000000001E-2</v>
      </c>
      <c r="BM144" s="179">
        <f t="shared" si="214"/>
        <v>2.0400000000000001E-2</v>
      </c>
      <c r="BN144" s="546"/>
      <c r="BP144" s="472">
        <f t="shared" si="215"/>
        <v>31.62</v>
      </c>
      <c r="BQ144" s="546">
        <f t="shared" si="216"/>
        <v>1.2254321257903305E-2</v>
      </c>
      <c r="BR144" s="546">
        <f t="shared" si="217"/>
        <v>5.0533283537745558E-3</v>
      </c>
      <c r="BS144" s="546">
        <f t="shared" si="218"/>
        <v>8.1830171451744965E-3</v>
      </c>
      <c r="BT144" s="546">
        <f t="shared" si="219"/>
        <v>1.3926862161630837E-2</v>
      </c>
      <c r="BU144" s="546"/>
      <c r="BV144" s="656">
        <f t="shared" si="250"/>
        <v>1.420004479283315E-2</v>
      </c>
      <c r="BW144" s="472">
        <f t="shared" si="221"/>
        <v>53.617573711316346</v>
      </c>
      <c r="BX144" s="179">
        <f t="shared" si="222"/>
        <v>0.16931638650181871</v>
      </c>
      <c r="BY144" s="6">
        <f t="shared" si="223"/>
        <v>1.7136</v>
      </c>
      <c r="BZ144" s="179">
        <f t="shared" si="224"/>
        <v>0.91007758617663115</v>
      </c>
      <c r="CA144" s="6">
        <f t="shared" si="225"/>
        <v>91.007758617663114</v>
      </c>
      <c r="CB144">
        <f t="shared" si="226"/>
        <v>34</v>
      </c>
      <c r="CD144" s="581">
        <f t="shared" si="251"/>
        <v>-50</v>
      </c>
      <c r="CE144">
        <f t="shared" si="252"/>
        <v>-50</v>
      </c>
    </row>
    <row r="145" spans="5:83" x14ac:dyDescent="0.2">
      <c r="E145" s="176">
        <v>35</v>
      </c>
      <c r="F145" s="223">
        <f t="shared" si="253"/>
        <v>3.85E-2</v>
      </c>
      <c r="G145" s="223">
        <f t="shared" si="234"/>
        <v>6.9999999999999993E-2</v>
      </c>
      <c r="H145" s="223">
        <f t="shared" si="235"/>
        <v>0.92399999999999993</v>
      </c>
      <c r="I145" s="223">
        <f t="shared" si="236"/>
        <v>0.83999999999999986</v>
      </c>
      <c r="J145" s="559">
        <f t="shared" si="171"/>
        <v>10</v>
      </c>
      <c r="K145" s="454">
        <f t="shared" si="172"/>
        <v>24.25</v>
      </c>
      <c r="L145" s="454">
        <f t="shared" si="173"/>
        <v>34.25</v>
      </c>
      <c r="M145" s="454"/>
      <c r="N145" s="223">
        <f t="shared" si="174"/>
        <v>0.70802919708029199</v>
      </c>
      <c r="O145" s="178">
        <f t="shared" si="237"/>
        <v>2.5543839068474097</v>
      </c>
      <c r="P145" s="178">
        <f t="shared" si="238"/>
        <v>4.4332282680822832</v>
      </c>
      <c r="Q145" s="223">
        <f t="shared" si="177"/>
        <v>0.10643266278530873</v>
      </c>
      <c r="R145" s="223">
        <f t="shared" si="239"/>
        <v>0.21286532557061746</v>
      </c>
      <c r="S145" s="223">
        <f t="shared" si="240"/>
        <v>24</v>
      </c>
      <c r="T145" s="223">
        <f t="shared" si="241"/>
        <v>0.52451003798155171</v>
      </c>
      <c r="U145" s="223">
        <f t="shared" si="181"/>
        <v>2.4651971785132929</v>
      </c>
      <c r="V145" s="223">
        <f t="shared" si="182"/>
        <v>1.016576156087956</v>
      </c>
      <c r="W145" s="203">
        <f t="shared" si="183"/>
        <v>350</v>
      </c>
      <c r="X145" s="454">
        <f t="shared" si="184"/>
        <v>287.20996569827696</v>
      </c>
      <c r="Z145" s="223">
        <f t="shared" si="185"/>
        <v>0.43041288576309544</v>
      </c>
      <c r="AA145" s="179">
        <f t="shared" si="186"/>
        <v>0.83420229405630864</v>
      </c>
      <c r="AB145" s="179">
        <f t="shared" si="242"/>
        <v>3.2913046530372254E-2</v>
      </c>
      <c r="AC145" s="179"/>
      <c r="AD145" s="179">
        <f t="shared" si="188"/>
        <v>0.56206185567010303</v>
      </c>
      <c r="AE145" s="563">
        <f t="shared" si="243"/>
        <v>472.39861360588975</v>
      </c>
      <c r="AF145" s="546">
        <f t="shared" si="244"/>
        <v>2.8524639175257726E-2</v>
      </c>
      <c r="AH145" s="179">
        <f t="shared" si="245"/>
        <v>0.46310699099277586</v>
      </c>
      <c r="AI145" s="179">
        <f t="shared" si="246"/>
        <v>0.52451003798155171</v>
      </c>
      <c r="AJ145" s="179">
        <f t="shared" si="247"/>
        <v>1.3737111392455938</v>
      </c>
      <c r="AL145" s="563">
        <f t="shared" si="248"/>
        <v>38.5</v>
      </c>
      <c r="AM145" s="472">
        <f t="shared" si="249"/>
        <v>287.20996569827696</v>
      </c>
      <c r="AO145" s="472">
        <f t="shared" si="196"/>
        <v>38.5</v>
      </c>
      <c r="AP145" s="472">
        <f t="shared" si="197"/>
        <v>287.20996569827696</v>
      </c>
      <c r="AR145" s="6">
        <f t="shared" si="233"/>
        <v>3.4817733346012485</v>
      </c>
      <c r="AS145" s="6">
        <f t="shared" si="230"/>
        <v>2.4651971785132929</v>
      </c>
      <c r="AT145" s="6">
        <f t="shared" si="231"/>
        <v>1.0165761560879556</v>
      </c>
      <c r="AU145" s="179">
        <f t="shared" si="232"/>
        <v>0.70802919708029199</v>
      </c>
      <c r="AW145" s="6">
        <f t="shared" si="201"/>
        <v>0.39545871405317407</v>
      </c>
      <c r="AX145" s="6">
        <f t="shared" si="202"/>
        <v>1.4380316874660872</v>
      </c>
      <c r="AY145" s="6">
        <f t="shared" si="203"/>
        <v>0.16479234530267911</v>
      </c>
      <c r="AZ145" s="6"/>
      <c r="BA145" s="179">
        <f t="shared" si="204"/>
        <v>0.25481134500610753</v>
      </c>
      <c r="BB145" s="179">
        <f t="shared" si="205"/>
        <v>0.16362998432636991</v>
      </c>
      <c r="BC145" s="179">
        <f t="shared" si="206"/>
        <v>0.29447325565227983</v>
      </c>
      <c r="BD145" s="179"/>
      <c r="BE145" s="546">
        <f t="shared" si="207"/>
        <v>2.2725087540337544E-2</v>
      </c>
      <c r="BF145" s="546">
        <f t="shared" si="208"/>
        <v>3.8696808510638302E-2</v>
      </c>
      <c r="BG145" s="546">
        <f t="shared" si="209"/>
        <v>3.5901245712284618E-3</v>
      </c>
      <c r="BH145" s="546">
        <f t="shared" si="210"/>
        <v>1.684576201934675E-2</v>
      </c>
      <c r="BI145">
        <f t="shared" si="211"/>
        <v>2.8999999999999998E-3</v>
      </c>
      <c r="BK145" s="472">
        <f t="shared" si="212"/>
        <v>84.757782641551046</v>
      </c>
      <c r="BL145" s="179">
        <f t="shared" si="213"/>
        <v>1.155E-2</v>
      </c>
      <c r="BM145" s="179">
        <f t="shared" si="214"/>
        <v>2.0999999999999998E-2</v>
      </c>
      <c r="BN145" s="546"/>
      <c r="BP145" s="472">
        <f t="shared" si="215"/>
        <v>32.549999999999997</v>
      </c>
      <c r="BQ145" s="546">
        <f t="shared" si="216"/>
        <v>1.2985764308764311E-2</v>
      </c>
      <c r="BR145" s="546">
        <f t="shared" si="217"/>
        <v>5.3549543541296131E-3</v>
      </c>
      <c r="BS145" s="546">
        <f t="shared" si="218"/>
        <v>8.6714498294452949E-3</v>
      </c>
      <c r="BT145" s="546">
        <f t="shared" si="219"/>
        <v>1.3926862161630821E-2</v>
      </c>
      <c r="BU145" s="546"/>
      <c r="BV145" s="656">
        <f t="shared" si="250"/>
        <v>1.4617693169092944E-2</v>
      </c>
      <c r="BW145" s="472">
        <f t="shared" si="221"/>
        <v>55.556723823062988</v>
      </c>
      <c r="BX145" s="179">
        <f t="shared" si="222"/>
        <v>0.17286450646461404</v>
      </c>
      <c r="BY145" s="6">
        <f t="shared" si="223"/>
        <v>1.7639999999999998</v>
      </c>
      <c r="BZ145" s="179">
        <f t="shared" si="224"/>
        <v>0.91075033597463873</v>
      </c>
      <c r="CA145" s="6">
        <f t="shared" si="225"/>
        <v>91.075033597463872</v>
      </c>
      <c r="CB145">
        <f t="shared" si="226"/>
        <v>35</v>
      </c>
      <c r="CD145" s="581">
        <f t="shared" si="251"/>
        <v>-50</v>
      </c>
      <c r="CE145">
        <f t="shared" si="252"/>
        <v>-50</v>
      </c>
    </row>
    <row r="146" spans="5:83" x14ac:dyDescent="0.2">
      <c r="E146" s="176">
        <v>36</v>
      </c>
      <c r="F146" s="223">
        <f t="shared" si="253"/>
        <v>3.9599999999999996E-2</v>
      </c>
      <c r="G146" s="223">
        <f t="shared" si="234"/>
        <v>7.1999999999999995E-2</v>
      </c>
      <c r="H146" s="223">
        <f t="shared" si="235"/>
        <v>0.95039999999999991</v>
      </c>
      <c r="I146" s="223">
        <f t="shared" si="236"/>
        <v>0.86399999999999988</v>
      </c>
      <c r="J146" s="559">
        <f t="shared" si="171"/>
        <v>10</v>
      </c>
      <c r="K146" s="454">
        <f t="shared" si="172"/>
        <v>24.25</v>
      </c>
      <c r="L146" s="454">
        <f t="shared" si="173"/>
        <v>34.25</v>
      </c>
      <c r="M146" s="454"/>
      <c r="N146" s="223">
        <f t="shared" si="174"/>
        <v>0.70802919708029199</v>
      </c>
      <c r="O146" s="178">
        <f t="shared" si="237"/>
        <v>2.5543839068474097</v>
      </c>
      <c r="P146" s="178">
        <f t="shared" si="238"/>
        <v>4.4332282680822832</v>
      </c>
      <c r="Q146" s="223">
        <f t="shared" si="177"/>
        <v>0.10643266278530873</v>
      </c>
      <c r="R146" s="223">
        <f t="shared" si="239"/>
        <v>0.21286532557061746</v>
      </c>
      <c r="S146" s="223">
        <f t="shared" si="240"/>
        <v>24</v>
      </c>
      <c r="T146" s="223">
        <f t="shared" si="241"/>
        <v>0.53949603906673893</v>
      </c>
      <c r="U146" s="223">
        <f t="shared" si="181"/>
        <v>2.5356313836136728</v>
      </c>
      <c r="V146" s="223">
        <f t="shared" si="182"/>
        <v>1.0456211891190403</v>
      </c>
      <c r="W146" s="203">
        <f t="shared" si="183"/>
        <v>350</v>
      </c>
      <c r="X146" s="454">
        <f t="shared" si="184"/>
        <v>279.23191109554699</v>
      </c>
      <c r="Z146" s="223">
        <f t="shared" si="185"/>
        <v>0.43041288576309544</v>
      </c>
      <c r="AA146" s="179">
        <f t="shared" si="186"/>
        <v>0.83420229405630864</v>
      </c>
      <c r="AB146" s="179">
        <f t="shared" si="242"/>
        <v>3.2913046530372254E-2</v>
      </c>
      <c r="AC146" s="179"/>
      <c r="AD146" s="179">
        <f t="shared" si="188"/>
        <v>0.56206185567010303</v>
      </c>
      <c r="AE146" s="563">
        <f t="shared" si="243"/>
        <v>485.89571685177225</v>
      </c>
      <c r="AF146" s="546">
        <f t="shared" si="244"/>
        <v>2.8524639175257726E-2</v>
      </c>
      <c r="AH146" s="179">
        <f t="shared" si="245"/>
        <v>0.46967621259847836</v>
      </c>
      <c r="AI146" s="179">
        <f t="shared" si="246"/>
        <v>0.53949603906673893</v>
      </c>
      <c r="AJ146" s="179">
        <f t="shared" si="247"/>
        <v>1.384811880790177</v>
      </c>
      <c r="AL146" s="563">
        <f t="shared" si="248"/>
        <v>39.599999999999994</v>
      </c>
      <c r="AM146" s="472">
        <f t="shared" si="249"/>
        <v>279.23191109554699</v>
      </c>
      <c r="AO146" s="472">
        <f t="shared" si="196"/>
        <v>39.599999999999994</v>
      </c>
      <c r="AP146" s="472">
        <f t="shared" si="197"/>
        <v>279.23191109554699</v>
      </c>
      <c r="AR146" s="6">
        <f t="shared" si="233"/>
        <v>3.5812525727327138</v>
      </c>
      <c r="AS146" s="6">
        <f t="shared" si="230"/>
        <v>2.5356313836136728</v>
      </c>
      <c r="AT146" s="6">
        <f t="shared" si="231"/>
        <v>1.045621189119041</v>
      </c>
      <c r="AU146" s="179">
        <f t="shared" si="232"/>
        <v>0.70802919708029188</v>
      </c>
      <c r="AW146" s="6">
        <f t="shared" si="201"/>
        <v>0.41837917829625598</v>
      </c>
      <c r="AX146" s="6">
        <f t="shared" si="202"/>
        <v>1.5213788301682034</v>
      </c>
      <c r="AY146" s="6">
        <f t="shared" si="203"/>
        <v>0.174343575112059</v>
      </c>
      <c r="AZ146" s="6"/>
      <c r="BA146" s="179">
        <f t="shared" si="204"/>
        <v>0.26209166914913912</v>
      </c>
      <c r="BB146" s="179">
        <f t="shared" si="205"/>
        <v>0.16830512673569478</v>
      </c>
      <c r="BC146" s="179">
        <f t="shared" si="206"/>
        <v>0.30288677724234497</v>
      </c>
      <c r="BD146" s="179"/>
      <c r="BE146" s="546">
        <f t="shared" si="207"/>
        <v>2.4042215063083627E-2</v>
      </c>
      <c r="BF146" s="546">
        <f t="shared" si="208"/>
        <v>3.8696808510638288E-2</v>
      </c>
      <c r="BG146" s="546">
        <f t="shared" si="209"/>
        <v>3.4903988886943373E-3</v>
      </c>
      <c r="BH146" s="546">
        <f t="shared" si="210"/>
        <v>1.6377824185476005E-2</v>
      </c>
      <c r="BI146">
        <f t="shared" si="211"/>
        <v>2.8999999999999998E-3</v>
      </c>
      <c r="BK146" s="472">
        <f t="shared" si="212"/>
        <v>85.507246647892245</v>
      </c>
      <c r="BL146" s="179">
        <f t="shared" si="213"/>
        <v>1.1879999999999998E-2</v>
      </c>
      <c r="BM146" s="179">
        <f t="shared" si="214"/>
        <v>2.1599999999999998E-2</v>
      </c>
      <c r="BN146" s="546"/>
      <c r="BP146" s="472">
        <f t="shared" si="215"/>
        <v>33.479999999999997</v>
      </c>
      <c r="BQ146" s="546">
        <f t="shared" si="216"/>
        <v>1.3738408607476361E-2</v>
      </c>
      <c r="BR146" s="546">
        <f t="shared" si="217"/>
        <v>5.6653231371036573E-3</v>
      </c>
      <c r="BS146" s="546">
        <f t="shared" si="218"/>
        <v>9.1740399828253907E-3</v>
      </c>
      <c r="BT146" s="546">
        <f t="shared" si="219"/>
        <v>1.3926862161630851E-2</v>
      </c>
      <c r="BU146" s="546"/>
      <c r="BV146" s="656">
        <f t="shared" si="250"/>
        <v>1.5035341545352743E-2</v>
      </c>
      <c r="BW146" s="472">
        <f t="shared" si="221"/>
        <v>57.539975434389007</v>
      </c>
      <c r="BX146" s="179">
        <f t="shared" si="222"/>
        <v>0.17652722208228128</v>
      </c>
      <c r="BY146" s="6">
        <f t="shared" si="223"/>
        <v>1.8143999999999998</v>
      </c>
      <c r="BZ146" s="179">
        <f t="shared" si="224"/>
        <v>0.91133416624960595</v>
      </c>
      <c r="CA146" s="6">
        <f t="shared" si="225"/>
        <v>91.133416624960589</v>
      </c>
      <c r="CB146">
        <f t="shared" si="226"/>
        <v>36</v>
      </c>
      <c r="CD146" s="581">
        <f t="shared" si="251"/>
        <v>-50</v>
      </c>
      <c r="CE146">
        <f t="shared" si="252"/>
        <v>-50</v>
      </c>
    </row>
    <row r="147" spans="5:83" x14ac:dyDescent="0.2">
      <c r="E147" s="176">
        <v>37</v>
      </c>
      <c r="F147" s="223">
        <f t="shared" si="253"/>
        <v>4.07E-2</v>
      </c>
      <c r="G147" s="223">
        <f t="shared" si="234"/>
        <v>7.3999999999999996E-2</v>
      </c>
      <c r="H147" s="223">
        <f t="shared" si="235"/>
        <v>0.9768</v>
      </c>
      <c r="I147" s="223">
        <f t="shared" si="236"/>
        <v>0.8879999999999999</v>
      </c>
      <c r="J147" s="559">
        <f t="shared" si="171"/>
        <v>10</v>
      </c>
      <c r="K147" s="454">
        <f t="shared" si="172"/>
        <v>24.25</v>
      </c>
      <c r="L147" s="454">
        <f t="shared" si="173"/>
        <v>34.25</v>
      </c>
      <c r="M147" s="454"/>
      <c r="N147" s="223">
        <f t="shared" si="174"/>
        <v>0.70802919708029199</v>
      </c>
      <c r="O147" s="178">
        <f t="shared" si="237"/>
        <v>2.5543839068474097</v>
      </c>
      <c r="P147" s="178">
        <f t="shared" si="238"/>
        <v>4.4332282680822832</v>
      </c>
      <c r="Q147" s="223">
        <f t="shared" si="177"/>
        <v>0.10643266278530873</v>
      </c>
      <c r="R147" s="223">
        <f t="shared" si="239"/>
        <v>0.21286532557061746</v>
      </c>
      <c r="S147" s="223">
        <f t="shared" si="240"/>
        <v>24</v>
      </c>
      <c r="T147" s="223">
        <f t="shared" si="241"/>
        <v>0.55448204015192615</v>
      </c>
      <c r="U147" s="223">
        <f t="shared" si="181"/>
        <v>2.6060655887140527</v>
      </c>
      <c r="V147" s="223">
        <f t="shared" si="182"/>
        <v>1.0746662221501249</v>
      </c>
      <c r="W147" s="203">
        <f t="shared" si="183"/>
        <v>350</v>
      </c>
      <c r="X147" s="454">
        <f t="shared" si="184"/>
        <v>271.68510268755927</v>
      </c>
      <c r="Z147" s="223">
        <f t="shared" si="185"/>
        <v>0.43041288576309544</v>
      </c>
      <c r="AA147" s="179">
        <f t="shared" si="186"/>
        <v>0.83420229405630864</v>
      </c>
      <c r="AB147" s="179">
        <f t="shared" si="242"/>
        <v>3.2913046530372254E-2</v>
      </c>
      <c r="AC147" s="179"/>
      <c r="AD147" s="179">
        <f t="shared" si="188"/>
        <v>0.56206185567010303</v>
      </c>
      <c r="AE147" s="563">
        <f t="shared" si="243"/>
        <v>499.39282009765492</v>
      </c>
      <c r="AF147" s="546">
        <f t="shared" si="244"/>
        <v>2.8524639175257726E-2</v>
      </c>
      <c r="AH147" s="179">
        <f t="shared" si="245"/>
        <v>0.47615481122773418</v>
      </c>
      <c r="AI147" s="179">
        <f t="shared" si="246"/>
        <v>0.55448204015192615</v>
      </c>
      <c r="AJ147" s="179">
        <f t="shared" si="247"/>
        <v>1.39591262233476</v>
      </c>
      <c r="AL147" s="563">
        <f t="shared" si="248"/>
        <v>40.700000000000003</v>
      </c>
      <c r="AM147" s="472">
        <f t="shared" si="249"/>
        <v>271.68510268755927</v>
      </c>
      <c r="AO147" s="472">
        <f t="shared" si="196"/>
        <v>40.700000000000003</v>
      </c>
      <c r="AP147" s="472">
        <f t="shared" si="197"/>
        <v>271.68510268755927</v>
      </c>
      <c r="AR147" s="6">
        <f t="shared" si="233"/>
        <v>3.6807318108641773</v>
      </c>
      <c r="AS147" s="6">
        <f t="shared" si="230"/>
        <v>2.6060655887140527</v>
      </c>
      <c r="AT147" s="6">
        <f t="shared" si="231"/>
        <v>1.0746662221501246</v>
      </c>
      <c r="AU147" s="179">
        <f t="shared" si="232"/>
        <v>0.70802919708029199</v>
      </c>
      <c r="AW147" s="6">
        <f t="shared" si="201"/>
        <v>0.44194528941942479</v>
      </c>
      <c r="AX147" s="6">
        <f t="shared" si="202"/>
        <v>1.6070737797069989</v>
      </c>
      <c r="AY147" s="6">
        <f t="shared" si="203"/>
        <v>0.18416385364846347</v>
      </c>
      <c r="AZ147" s="6"/>
      <c r="BA147" s="179">
        <f t="shared" si="204"/>
        <v>0.26937199329217082</v>
      </c>
      <c r="BB147" s="179">
        <f t="shared" si="205"/>
        <v>0.17298026914501963</v>
      </c>
      <c r="BC147" s="179">
        <f t="shared" si="206"/>
        <v>0.31130029883241012</v>
      </c>
      <c r="BD147" s="179"/>
      <c r="BE147" s="546">
        <f t="shared" si="207"/>
        <v>2.5396444769569062E-2</v>
      </c>
      <c r="BF147" s="546">
        <f t="shared" si="208"/>
        <v>3.8696808510638295E-2</v>
      </c>
      <c r="BG147" s="546">
        <f t="shared" si="209"/>
        <v>3.3960637835944905E-3</v>
      </c>
      <c r="BH147" s="546">
        <f t="shared" si="210"/>
        <v>1.5935180288571247E-2</v>
      </c>
      <c r="BI147">
        <f t="shared" si="211"/>
        <v>2.8999999999999998E-3</v>
      </c>
      <c r="BK147" s="472">
        <f t="shared" si="212"/>
        <v>86.324497352373086</v>
      </c>
      <c r="BL147" s="179">
        <f t="shared" si="213"/>
        <v>1.221E-2</v>
      </c>
      <c r="BM147" s="179">
        <f t="shared" si="214"/>
        <v>2.2199999999999998E-2</v>
      </c>
      <c r="BN147" s="546"/>
      <c r="BP147" s="472">
        <f t="shared" si="215"/>
        <v>34.409999999999997</v>
      </c>
      <c r="BQ147" s="546">
        <f t="shared" si="216"/>
        <v>1.4512254154039464E-2</v>
      </c>
      <c r="BR147" s="546">
        <f t="shared" si="217"/>
        <v>5.9844347026966858E-3</v>
      </c>
      <c r="BS147" s="546">
        <f t="shared" si="218"/>
        <v>9.6907876053147837E-3</v>
      </c>
      <c r="BT147" s="546">
        <f t="shared" si="219"/>
        <v>1.3926862161630828E-2</v>
      </c>
      <c r="BU147" s="546"/>
      <c r="BV147" s="656">
        <f t="shared" si="250"/>
        <v>1.545298992161254E-2</v>
      </c>
      <c r="BW147" s="472">
        <f t="shared" si="221"/>
        <v>59.567328545294302</v>
      </c>
      <c r="BX147" s="179">
        <f t="shared" si="222"/>
        <v>0.18030182589766738</v>
      </c>
      <c r="BY147" s="6">
        <f t="shared" si="223"/>
        <v>1.8647999999999998</v>
      </c>
      <c r="BZ147" s="179">
        <f t="shared" si="224"/>
        <v>0.91183723782627479</v>
      </c>
      <c r="CA147" s="6">
        <f t="shared" si="225"/>
        <v>91.183723782627482</v>
      </c>
      <c r="CB147">
        <f t="shared" si="226"/>
        <v>37</v>
      </c>
      <c r="CD147" s="581">
        <f t="shared" si="251"/>
        <v>-50</v>
      </c>
      <c r="CE147">
        <f t="shared" si="252"/>
        <v>-50</v>
      </c>
    </row>
    <row r="148" spans="5:83" x14ac:dyDescent="0.2">
      <c r="E148" s="176">
        <v>38</v>
      </c>
      <c r="F148" s="223">
        <f t="shared" si="253"/>
        <v>4.1800000000000004E-2</v>
      </c>
      <c r="G148" s="223">
        <f t="shared" si="234"/>
        <v>7.6000000000000012E-2</v>
      </c>
      <c r="H148" s="223">
        <f t="shared" si="235"/>
        <v>1.0032000000000001</v>
      </c>
      <c r="I148" s="223">
        <f t="shared" si="236"/>
        <v>0.91200000000000014</v>
      </c>
      <c r="J148" s="559">
        <f t="shared" si="171"/>
        <v>10</v>
      </c>
      <c r="K148" s="454">
        <f t="shared" si="172"/>
        <v>24.25</v>
      </c>
      <c r="L148" s="454">
        <f t="shared" si="173"/>
        <v>34.25</v>
      </c>
      <c r="M148" s="454"/>
      <c r="N148" s="223">
        <f t="shared" si="174"/>
        <v>0.70802919708029199</v>
      </c>
      <c r="O148" s="178">
        <f t="shared" si="237"/>
        <v>2.5543839068474097</v>
      </c>
      <c r="P148" s="178">
        <f t="shared" si="238"/>
        <v>4.4332282680822832</v>
      </c>
      <c r="Q148" s="223">
        <f t="shared" si="177"/>
        <v>0.10643266278530873</v>
      </c>
      <c r="R148" s="223">
        <f t="shared" si="239"/>
        <v>0.21286532557061746</v>
      </c>
      <c r="S148" s="223">
        <f t="shared" si="240"/>
        <v>24</v>
      </c>
      <c r="T148" s="223">
        <f t="shared" si="241"/>
        <v>0.56946804123711348</v>
      </c>
      <c r="U148" s="223">
        <f t="shared" si="181"/>
        <v>2.6764997938144335</v>
      </c>
      <c r="V148" s="223">
        <f t="shared" si="182"/>
        <v>1.1037112551812096</v>
      </c>
      <c r="W148" s="203">
        <f t="shared" si="183"/>
        <v>350</v>
      </c>
      <c r="X148" s="454">
        <f t="shared" si="184"/>
        <v>264.5354947220971</v>
      </c>
      <c r="Z148" s="223">
        <f t="shared" si="185"/>
        <v>0.43041288576309544</v>
      </c>
      <c r="AA148" s="179">
        <f t="shared" si="186"/>
        <v>0.83420229405630864</v>
      </c>
      <c r="AB148" s="179">
        <f t="shared" si="242"/>
        <v>3.2913046530372254E-2</v>
      </c>
      <c r="AC148" s="179"/>
      <c r="AD148" s="179">
        <f t="shared" si="188"/>
        <v>0.56206185567010303</v>
      </c>
      <c r="AE148" s="563">
        <f t="shared" si="243"/>
        <v>512.88992334353748</v>
      </c>
      <c r="AF148" s="546">
        <f t="shared" si="244"/>
        <v>2.8524639175257726E-2</v>
      </c>
      <c r="AH148" s="179">
        <f t="shared" si="245"/>
        <v>0.48254643696724903</v>
      </c>
      <c r="AI148" s="179">
        <f t="shared" si="246"/>
        <v>0.56946804123711348</v>
      </c>
      <c r="AJ148" s="179">
        <f t="shared" si="247"/>
        <v>1.4070133638793432</v>
      </c>
      <c r="AL148" s="563">
        <f t="shared" si="248"/>
        <v>41.800000000000004</v>
      </c>
      <c r="AM148" s="472">
        <f t="shared" si="249"/>
        <v>264.5354947220971</v>
      </c>
      <c r="AO148" s="472">
        <f t="shared" si="196"/>
        <v>41.800000000000004</v>
      </c>
      <c r="AP148" s="472">
        <f t="shared" si="197"/>
        <v>264.5354947220971</v>
      </c>
      <c r="AR148" s="6">
        <f t="shared" si="233"/>
        <v>3.7802110489956431</v>
      </c>
      <c r="AS148" s="6">
        <f t="shared" si="230"/>
        <v>2.6764997938144335</v>
      </c>
      <c r="AT148" s="6">
        <f t="shared" si="231"/>
        <v>1.1037112551812096</v>
      </c>
      <c r="AU148" s="179">
        <f t="shared" si="232"/>
        <v>0.70802919708029199</v>
      </c>
      <c r="AW148" s="6">
        <f t="shared" si="201"/>
        <v>0.46615704742268055</v>
      </c>
      <c r="AX148" s="6">
        <f t="shared" si="202"/>
        <v>1.6951165360824747</v>
      </c>
      <c r="AY148" s="6">
        <f t="shared" si="203"/>
        <v>0.19425318091189286</v>
      </c>
      <c r="AZ148" s="6"/>
      <c r="BA148" s="179">
        <f t="shared" si="204"/>
        <v>0.27665231743520252</v>
      </c>
      <c r="BB148" s="179">
        <f t="shared" si="205"/>
        <v>0.17765541155434453</v>
      </c>
      <c r="BC148" s="179">
        <f t="shared" si="206"/>
        <v>0.31971382042247537</v>
      </c>
      <c r="BD148" s="179"/>
      <c r="BE148" s="546">
        <f t="shared" si="207"/>
        <v>2.678777665979382E-2</v>
      </c>
      <c r="BF148" s="546">
        <f t="shared" si="208"/>
        <v>3.8696808510638295E-2</v>
      </c>
      <c r="BG148" s="546">
        <f t="shared" si="209"/>
        <v>3.3066936840262136E-3</v>
      </c>
      <c r="BH148" s="546">
        <f t="shared" si="210"/>
        <v>1.5515833438872001E-2</v>
      </c>
      <c r="BI148">
        <f t="shared" si="211"/>
        <v>2.8999999999999998E-3</v>
      </c>
      <c r="BK148" s="472">
        <f t="shared" si="212"/>
        <v>87.207112293330326</v>
      </c>
      <c r="BL148" s="179">
        <f t="shared" si="213"/>
        <v>1.2540000000000001E-2</v>
      </c>
      <c r="BM148" s="179">
        <f t="shared" si="214"/>
        <v>2.2800000000000004E-2</v>
      </c>
      <c r="BN148" s="546"/>
      <c r="BP148" s="472">
        <f t="shared" si="215"/>
        <v>35.340000000000003</v>
      </c>
      <c r="BQ148" s="546">
        <f t="shared" si="216"/>
        <v>1.5307300948453612E-2</v>
      </c>
      <c r="BR148" s="546">
        <f t="shared" si="217"/>
        <v>6.3122890509087065E-3</v>
      </c>
      <c r="BS148" s="546">
        <f t="shared" si="218"/>
        <v>1.0221692696913483E-2</v>
      </c>
      <c r="BT148" s="546">
        <f t="shared" si="219"/>
        <v>1.3926862161630858E-2</v>
      </c>
      <c r="BU148" s="546"/>
      <c r="BV148" s="656">
        <f t="shared" si="250"/>
        <v>1.5870638297872344E-2</v>
      </c>
      <c r="BW148" s="472">
        <f t="shared" si="221"/>
        <v>61.638783155779002</v>
      </c>
      <c r="BX148" s="179">
        <f t="shared" si="222"/>
        <v>0.18418589544910929</v>
      </c>
      <c r="BY148" s="6">
        <f t="shared" si="223"/>
        <v>1.9152000000000002</v>
      </c>
      <c r="BZ148" s="179">
        <f t="shared" si="224"/>
        <v>0.91226677484669516</v>
      </c>
      <c r="CA148" s="6">
        <f t="shared" si="225"/>
        <v>91.226677484669523</v>
      </c>
      <c r="CB148">
        <f t="shared" si="226"/>
        <v>38.000000000000007</v>
      </c>
      <c r="CD148" s="581">
        <f t="shared" si="251"/>
        <v>-50</v>
      </c>
      <c r="CE148">
        <f t="shared" si="252"/>
        <v>-50</v>
      </c>
    </row>
    <row r="149" spans="5:83" x14ac:dyDescent="0.2">
      <c r="E149" s="176">
        <v>39</v>
      </c>
      <c r="F149" s="223">
        <f t="shared" si="253"/>
        <v>4.2900000000000001E-2</v>
      </c>
      <c r="G149" s="223">
        <f t="shared" si="234"/>
        <v>7.8000000000000014E-2</v>
      </c>
      <c r="H149" s="223">
        <f t="shared" si="235"/>
        <v>1.0296000000000001</v>
      </c>
      <c r="I149" s="223">
        <f t="shared" si="236"/>
        <v>0.93600000000000017</v>
      </c>
      <c r="J149" s="559">
        <f t="shared" si="171"/>
        <v>10</v>
      </c>
      <c r="K149" s="454">
        <f t="shared" si="172"/>
        <v>24.25</v>
      </c>
      <c r="L149" s="454">
        <f t="shared" si="173"/>
        <v>34.25</v>
      </c>
      <c r="M149" s="454"/>
      <c r="N149" s="223">
        <f t="shared" si="174"/>
        <v>0.70802919708029199</v>
      </c>
      <c r="O149" s="178">
        <f t="shared" si="237"/>
        <v>2.5543839068474097</v>
      </c>
      <c r="P149" s="178">
        <f t="shared" si="238"/>
        <v>4.4332282680822832</v>
      </c>
      <c r="Q149" s="223">
        <f t="shared" si="177"/>
        <v>0.10643266278530873</v>
      </c>
      <c r="R149" s="223">
        <f t="shared" si="239"/>
        <v>0.21286532557061746</v>
      </c>
      <c r="S149" s="223">
        <f t="shared" si="240"/>
        <v>24</v>
      </c>
      <c r="T149" s="223">
        <f t="shared" si="241"/>
        <v>0.58445404232230069</v>
      </c>
      <c r="U149" s="223">
        <f t="shared" si="181"/>
        <v>2.7469339989148129</v>
      </c>
      <c r="V149" s="223">
        <f t="shared" si="182"/>
        <v>1.1327562882122939</v>
      </c>
      <c r="W149" s="203">
        <f t="shared" si="183"/>
        <v>350</v>
      </c>
      <c r="X149" s="454">
        <f t="shared" si="184"/>
        <v>257.75253331896641</v>
      </c>
      <c r="Z149" s="223">
        <f t="shared" si="185"/>
        <v>0.43041288576309544</v>
      </c>
      <c r="AA149" s="179">
        <f t="shared" si="186"/>
        <v>0.83420229405630864</v>
      </c>
      <c r="AB149" s="179">
        <f t="shared" si="242"/>
        <v>3.2913046530372254E-2</v>
      </c>
      <c r="AC149" s="179"/>
      <c r="AD149" s="179">
        <f t="shared" si="188"/>
        <v>0.56206185567010303</v>
      </c>
      <c r="AE149" s="563">
        <f t="shared" si="243"/>
        <v>526.38702658942009</v>
      </c>
      <c r="AF149" s="546">
        <f t="shared" si="244"/>
        <v>2.8524639175257726E-2</v>
      </c>
      <c r="AH149" s="179">
        <f t="shared" si="245"/>
        <v>0.4888545012621397</v>
      </c>
      <c r="AI149" s="179">
        <f t="shared" si="246"/>
        <v>0.58445404232230069</v>
      </c>
      <c r="AJ149" s="179">
        <f t="shared" si="247"/>
        <v>1.4181141054239264</v>
      </c>
      <c r="AL149" s="563">
        <f t="shared" si="248"/>
        <v>42.9</v>
      </c>
      <c r="AM149" s="472">
        <f t="shared" si="249"/>
        <v>257.75253331896641</v>
      </c>
      <c r="AO149" s="472">
        <f t="shared" si="196"/>
        <v>42.9</v>
      </c>
      <c r="AP149" s="472">
        <f t="shared" si="197"/>
        <v>257.75253331896641</v>
      </c>
      <c r="AR149" s="6">
        <f t="shared" si="233"/>
        <v>3.8796902871271071</v>
      </c>
      <c r="AS149" s="6">
        <f t="shared" si="230"/>
        <v>2.7469339989148129</v>
      </c>
      <c r="AT149" s="6">
        <f t="shared" si="231"/>
        <v>1.1327562882122941</v>
      </c>
      <c r="AU149" s="179">
        <f t="shared" si="232"/>
        <v>0.70802919708029199</v>
      </c>
      <c r="AW149" s="6">
        <f t="shared" si="201"/>
        <v>0.49101445230602281</v>
      </c>
      <c r="AX149" s="6">
        <f t="shared" si="202"/>
        <v>1.7855070992946289</v>
      </c>
      <c r="AY149" s="6">
        <f t="shared" si="203"/>
        <v>0.204611556902347</v>
      </c>
      <c r="AZ149" s="6"/>
      <c r="BA149" s="179">
        <f t="shared" si="204"/>
        <v>0.28393264157823417</v>
      </c>
      <c r="BB149" s="179">
        <f t="shared" si="205"/>
        <v>0.18233055396366937</v>
      </c>
      <c r="BC149" s="179">
        <f t="shared" si="206"/>
        <v>0.32812734201254046</v>
      </c>
      <c r="BD149" s="179"/>
      <c r="BE149" s="546">
        <f t="shared" si="207"/>
        <v>2.8216210733757893E-2</v>
      </c>
      <c r="BF149" s="546">
        <f t="shared" si="208"/>
        <v>3.8696808510638295E-2</v>
      </c>
      <c r="BG149" s="546">
        <f t="shared" si="209"/>
        <v>3.22190666648708E-3</v>
      </c>
      <c r="BH149" s="546">
        <f t="shared" si="210"/>
        <v>1.5117991555824E-2</v>
      </c>
      <c r="BI149">
        <f t="shared" si="211"/>
        <v>2.8999999999999998E-3</v>
      </c>
      <c r="BK149" s="472">
        <f t="shared" si="212"/>
        <v>88.152917466707265</v>
      </c>
      <c r="BL149" s="179">
        <f t="shared" si="213"/>
        <v>1.2869999999999999E-2</v>
      </c>
      <c r="BM149" s="179">
        <f t="shared" si="214"/>
        <v>2.3400000000000004E-2</v>
      </c>
      <c r="BN149" s="546"/>
      <c r="BP149" s="472">
        <f t="shared" si="215"/>
        <v>36.270000000000003</v>
      </c>
      <c r="BQ149" s="546">
        <f t="shared" si="216"/>
        <v>1.6123548990718797E-2</v>
      </c>
      <c r="BR149" s="546">
        <f t="shared" si="217"/>
        <v>6.6488861817397106E-3</v>
      </c>
      <c r="BS149" s="546">
        <f t="shared" si="218"/>
        <v>1.076675525762147E-2</v>
      </c>
      <c r="BT149" s="546">
        <f t="shared" si="219"/>
        <v>1.3926862161630851E-2</v>
      </c>
      <c r="BU149" s="546"/>
      <c r="BV149" s="656">
        <f t="shared" si="250"/>
        <v>1.6288286674132142E-2</v>
      </c>
      <c r="BW149" s="472">
        <f t="shared" si="221"/>
        <v>63.754339265842965</v>
      </c>
      <c r="BX149" s="179">
        <f t="shared" si="222"/>
        <v>0.18817725673255026</v>
      </c>
      <c r="BY149" s="6">
        <f t="shared" si="223"/>
        <v>1.9656000000000002</v>
      </c>
      <c r="BZ149" s="179">
        <f t="shared" si="224"/>
        <v>0.91262919313298441</v>
      </c>
      <c r="CA149" s="6">
        <f t="shared" si="225"/>
        <v>91.26291931329844</v>
      </c>
      <c r="CB149">
        <f t="shared" si="226"/>
        <v>39</v>
      </c>
      <c r="CD149" s="581">
        <f t="shared" si="251"/>
        <v>-50</v>
      </c>
      <c r="CE149">
        <f t="shared" si="252"/>
        <v>-50</v>
      </c>
    </row>
    <row r="150" spans="5:83" x14ac:dyDescent="0.2">
      <c r="E150" s="176">
        <v>40</v>
      </c>
      <c r="F150" s="223">
        <f t="shared" si="253"/>
        <v>4.4000000000000004E-2</v>
      </c>
      <c r="G150" s="223">
        <f t="shared" si="234"/>
        <v>8.0000000000000016E-2</v>
      </c>
      <c r="H150" s="223">
        <f t="shared" si="235"/>
        <v>1.056</v>
      </c>
      <c r="I150" s="223">
        <f t="shared" si="236"/>
        <v>0.96000000000000019</v>
      </c>
      <c r="J150" s="559">
        <f t="shared" si="171"/>
        <v>10</v>
      </c>
      <c r="K150" s="454">
        <f t="shared" si="172"/>
        <v>24.25</v>
      </c>
      <c r="L150" s="454">
        <f t="shared" si="173"/>
        <v>34.25</v>
      </c>
      <c r="M150" s="454"/>
      <c r="N150" s="223">
        <f t="shared" si="174"/>
        <v>0.70802919708029199</v>
      </c>
      <c r="O150" s="178">
        <f t="shared" si="237"/>
        <v>2.5543839068474097</v>
      </c>
      <c r="P150" s="178">
        <f t="shared" si="238"/>
        <v>4.4332282680822832</v>
      </c>
      <c r="Q150" s="223">
        <f t="shared" si="177"/>
        <v>0.10643266278530873</v>
      </c>
      <c r="R150" s="223">
        <f t="shared" si="239"/>
        <v>0.21286532557061746</v>
      </c>
      <c r="S150" s="223">
        <f t="shared" si="240"/>
        <v>24</v>
      </c>
      <c r="T150" s="223">
        <f t="shared" si="241"/>
        <v>0.5994400434074878</v>
      </c>
      <c r="U150" s="223">
        <f t="shared" si="181"/>
        <v>2.8173682040151924</v>
      </c>
      <c r="V150" s="223">
        <f t="shared" si="182"/>
        <v>1.1618013212433782</v>
      </c>
      <c r="W150" s="203">
        <f t="shared" si="183"/>
        <v>350</v>
      </c>
      <c r="X150" s="454">
        <f t="shared" si="184"/>
        <v>251.3087199859923</v>
      </c>
      <c r="Z150" s="223">
        <f t="shared" si="185"/>
        <v>0.43041288576309544</v>
      </c>
      <c r="AA150" s="179">
        <f t="shared" si="186"/>
        <v>0.83420229405630864</v>
      </c>
      <c r="AB150" s="179">
        <f t="shared" si="242"/>
        <v>3.2913046530372254E-2</v>
      </c>
      <c r="AC150" s="179"/>
      <c r="AD150" s="179">
        <f t="shared" si="188"/>
        <v>0.56206185567010303</v>
      </c>
      <c r="AE150" s="563">
        <f t="shared" si="243"/>
        <v>539.88412983530259</v>
      </c>
      <c r="AF150" s="546">
        <f t="shared" si="244"/>
        <v>2.8524639175257726E-2</v>
      </c>
      <c r="AH150" s="179">
        <f t="shared" si="245"/>
        <v>0.49508219820422084</v>
      </c>
      <c r="AI150" s="179">
        <f t="shared" si="246"/>
        <v>0.5994400434074878</v>
      </c>
      <c r="AJ150" s="179">
        <f t="shared" si="247"/>
        <v>1.4292148469685095</v>
      </c>
      <c r="AL150" s="563">
        <f t="shared" si="248"/>
        <v>44.000000000000007</v>
      </c>
      <c r="AM150" s="472">
        <f t="shared" si="249"/>
        <v>251.3087199859923</v>
      </c>
      <c r="AO150" s="472">
        <f t="shared" si="196"/>
        <v>44.000000000000007</v>
      </c>
      <c r="AP150" s="472">
        <f t="shared" si="197"/>
        <v>251.3087199859923</v>
      </c>
      <c r="AR150" s="6">
        <f t="shared" si="233"/>
        <v>3.9791695252585706</v>
      </c>
      <c r="AS150" s="6">
        <f t="shared" si="230"/>
        <v>2.8173682040151924</v>
      </c>
      <c r="AT150" s="6">
        <f t="shared" si="231"/>
        <v>1.1618013212433782</v>
      </c>
      <c r="AU150" s="179">
        <f t="shared" si="232"/>
        <v>0.70802919708029199</v>
      </c>
      <c r="AW150" s="6">
        <f t="shared" si="201"/>
        <v>0.51651750406945196</v>
      </c>
      <c r="AX150" s="6">
        <f t="shared" si="202"/>
        <v>1.8782454693434618</v>
      </c>
      <c r="AY150" s="6">
        <f t="shared" si="203"/>
        <v>0.21523898161982585</v>
      </c>
      <c r="AZ150" s="6"/>
      <c r="BA150" s="179">
        <f t="shared" si="204"/>
        <v>0.29121296572126582</v>
      </c>
      <c r="BB150" s="179">
        <f t="shared" si="205"/>
        <v>0.18700569637299422</v>
      </c>
      <c r="BC150" s="179">
        <f t="shared" si="206"/>
        <v>0.33654086360260554</v>
      </c>
      <c r="BD150" s="179"/>
      <c r="BE150" s="546">
        <f t="shared" si="207"/>
        <v>2.9681746991461293E-2</v>
      </c>
      <c r="BF150" s="546">
        <f t="shared" si="208"/>
        <v>3.8696808510638302E-2</v>
      </c>
      <c r="BG150" s="546">
        <f t="shared" si="209"/>
        <v>3.1413589998249033E-3</v>
      </c>
      <c r="BH150" s="546">
        <f t="shared" si="210"/>
        <v>1.4740041766928405E-2</v>
      </c>
      <c r="BI150">
        <f t="shared" si="211"/>
        <v>2.8999999999999998E-3</v>
      </c>
      <c r="BK150" s="472">
        <f t="shared" si="212"/>
        <v>89.159956268852895</v>
      </c>
      <c r="BL150" s="179">
        <f t="shared" si="213"/>
        <v>1.3200000000000002E-2</v>
      </c>
      <c r="BM150" s="179">
        <f t="shared" si="214"/>
        <v>2.4000000000000004E-2</v>
      </c>
      <c r="BN150" s="546"/>
      <c r="BP150" s="472">
        <f t="shared" si="215"/>
        <v>37.200000000000003</v>
      </c>
      <c r="BQ150" s="546">
        <f t="shared" si="216"/>
        <v>1.6960998280835027E-2</v>
      </c>
      <c r="BR150" s="546">
        <f t="shared" si="217"/>
        <v>6.9942260951897017E-3</v>
      </c>
      <c r="BS150" s="546">
        <f t="shared" si="218"/>
        <v>1.1325975287438755E-2</v>
      </c>
      <c r="BT150" s="546">
        <f t="shared" si="219"/>
        <v>1.3926862161630828E-2</v>
      </c>
      <c r="BU150" s="546"/>
      <c r="BV150" s="656">
        <f t="shared" si="250"/>
        <v>1.6705935050391939E-2</v>
      </c>
      <c r="BW150" s="472">
        <f t="shared" si="221"/>
        <v>65.913996875486248</v>
      </c>
      <c r="BX150" s="179">
        <f t="shared" si="222"/>
        <v>0.19227395314433918</v>
      </c>
      <c r="BY150" s="6">
        <f t="shared" si="223"/>
        <v>2.016</v>
      </c>
      <c r="BZ150" s="179">
        <f t="shared" si="224"/>
        <v>0.91293020828753502</v>
      </c>
      <c r="CA150" s="6">
        <f t="shared" si="225"/>
        <v>91.293020828753498</v>
      </c>
      <c r="CB150">
        <f t="shared" si="226"/>
        <v>40</v>
      </c>
      <c r="CD150" s="581">
        <f t="shared" si="251"/>
        <v>-50</v>
      </c>
      <c r="CE150">
        <f t="shared" si="252"/>
        <v>-50</v>
      </c>
    </row>
    <row r="151" spans="5:83" x14ac:dyDescent="0.2">
      <c r="E151" s="176">
        <v>41</v>
      </c>
      <c r="F151" s="223">
        <f t="shared" si="253"/>
        <v>4.5099999999999994E-2</v>
      </c>
      <c r="G151" s="223">
        <f t="shared" si="234"/>
        <v>8.2000000000000003E-2</v>
      </c>
      <c r="H151" s="223">
        <f t="shared" si="235"/>
        <v>1.0823999999999998</v>
      </c>
      <c r="I151" s="223">
        <f t="shared" si="236"/>
        <v>0.98399999999999999</v>
      </c>
      <c r="J151" s="559">
        <f t="shared" si="171"/>
        <v>10</v>
      </c>
      <c r="K151" s="454">
        <f t="shared" si="172"/>
        <v>24.25</v>
      </c>
      <c r="L151" s="454">
        <f t="shared" si="173"/>
        <v>34.25</v>
      </c>
      <c r="M151" s="454"/>
      <c r="N151" s="223">
        <f t="shared" si="174"/>
        <v>0.70802919708029199</v>
      </c>
      <c r="O151" s="178">
        <f t="shared" si="237"/>
        <v>2.5543839068474097</v>
      </c>
      <c r="P151" s="178">
        <f t="shared" si="238"/>
        <v>4.4332282680822832</v>
      </c>
      <c r="Q151" s="223">
        <f t="shared" si="177"/>
        <v>0.10643266278530873</v>
      </c>
      <c r="R151" s="223">
        <f t="shared" si="239"/>
        <v>0.21286532557061746</v>
      </c>
      <c r="S151" s="223">
        <f t="shared" si="240"/>
        <v>24</v>
      </c>
      <c r="T151" s="223">
        <f t="shared" si="241"/>
        <v>0.61442604449267491</v>
      </c>
      <c r="U151" s="223">
        <f t="shared" si="181"/>
        <v>2.8878024091155718</v>
      </c>
      <c r="V151" s="223">
        <f t="shared" si="182"/>
        <v>1.1908463542744627</v>
      </c>
      <c r="W151" s="203">
        <f t="shared" si="183"/>
        <v>350</v>
      </c>
      <c r="X151" s="454">
        <f t="shared" si="184"/>
        <v>245.17923901072416</v>
      </c>
      <c r="Z151" s="223">
        <f t="shared" si="185"/>
        <v>0.43041288576309544</v>
      </c>
      <c r="AA151" s="179">
        <f t="shared" si="186"/>
        <v>0.83420229405630864</v>
      </c>
      <c r="AB151" s="179">
        <f t="shared" si="242"/>
        <v>3.2913046530372254E-2</v>
      </c>
      <c r="AC151" s="179"/>
      <c r="AD151" s="179">
        <f t="shared" si="188"/>
        <v>0.56206185567010303</v>
      </c>
      <c r="AE151" s="563">
        <f t="shared" si="243"/>
        <v>553.38123308118497</v>
      </c>
      <c r="AF151" s="546">
        <f t="shared" si="244"/>
        <v>2.8524639175257726E-2</v>
      </c>
      <c r="AH151" s="179">
        <f t="shared" si="245"/>
        <v>0.50123252343916336</v>
      </c>
      <c r="AI151" s="179">
        <f t="shared" si="246"/>
        <v>0.61442604449267491</v>
      </c>
      <c r="AJ151" s="179">
        <f t="shared" si="247"/>
        <v>1.4403155885130925</v>
      </c>
      <c r="AL151" s="563">
        <f t="shared" si="248"/>
        <v>45.099999999999994</v>
      </c>
      <c r="AM151" s="472">
        <f t="shared" si="249"/>
        <v>245.17923901072416</v>
      </c>
      <c r="AO151" s="472">
        <f t="shared" si="196"/>
        <v>45.099999999999994</v>
      </c>
      <c r="AP151" s="472">
        <f t="shared" si="197"/>
        <v>245.17923901072416</v>
      </c>
      <c r="AR151" s="6">
        <f t="shared" si="233"/>
        <v>4.078648763390035</v>
      </c>
      <c r="AS151" s="6">
        <f t="shared" si="230"/>
        <v>2.8878024091155718</v>
      </c>
      <c r="AT151" s="6">
        <f t="shared" si="231"/>
        <v>1.1908463542744632</v>
      </c>
      <c r="AU151" s="179">
        <f t="shared" si="232"/>
        <v>0.70802919708029188</v>
      </c>
      <c r="AW151" s="6">
        <f t="shared" si="201"/>
        <v>0.54266620271296784</v>
      </c>
      <c r="AX151" s="6">
        <f t="shared" si="202"/>
        <v>1.9733316462289741</v>
      </c>
      <c r="AY151" s="6">
        <f t="shared" si="203"/>
        <v>0.22613545506432955</v>
      </c>
      <c r="AZ151" s="6"/>
      <c r="BA151" s="179">
        <f t="shared" si="204"/>
        <v>0.29849328986429735</v>
      </c>
      <c r="BB151" s="179">
        <f t="shared" si="205"/>
        <v>0.19168083878231906</v>
      </c>
      <c r="BC151" s="179">
        <f t="shared" si="206"/>
        <v>0.34495438519267069</v>
      </c>
      <c r="BD151" s="179"/>
      <c r="BE151" s="546">
        <f t="shared" si="207"/>
        <v>3.1184385432904003E-2</v>
      </c>
      <c r="BF151" s="546">
        <f t="shared" si="208"/>
        <v>3.8696808510638288E-2</v>
      </c>
      <c r="BG151" s="546">
        <f t="shared" si="209"/>
        <v>3.0647404876340519E-3</v>
      </c>
      <c r="BH151" s="546">
        <f t="shared" si="210"/>
        <v>1.4380528553100881E-2</v>
      </c>
      <c r="BI151">
        <f t="shared" si="211"/>
        <v>2.8999999999999998E-3</v>
      </c>
      <c r="BK151" s="472">
        <f t="shared" si="212"/>
        <v>90.226462984277234</v>
      </c>
      <c r="BL151" s="179">
        <f t="shared" si="213"/>
        <v>1.3529999999999999E-2</v>
      </c>
      <c r="BM151" s="179">
        <f t="shared" si="214"/>
        <v>2.46E-2</v>
      </c>
      <c r="BN151" s="546"/>
      <c r="BP151" s="472">
        <f t="shared" si="215"/>
        <v>38.129999999999995</v>
      </c>
      <c r="BQ151" s="546">
        <f t="shared" si="216"/>
        <v>1.781964881880229E-2</v>
      </c>
      <c r="BR151" s="546">
        <f t="shared" si="217"/>
        <v>7.3483087912586788E-3</v>
      </c>
      <c r="BS151" s="546">
        <f t="shared" si="218"/>
        <v>1.1899352786365343E-2</v>
      </c>
      <c r="BT151" s="546">
        <f t="shared" si="219"/>
        <v>1.3926862161630834E-2</v>
      </c>
      <c r="BU151" s="546"/>
      <c r="BV151" s="656">
        <f t="shared" si="250"/>
        <v>1.7123583426651733E-2</v>
      </c>
      <c r="BW151" s="472">
        <f t="shared" si="221"/>
        <v>68.117755984708879</v>
      </c>
      <c r="BX151" s="179">
        <f t="shared" si="222"/>
        <v>0.19647421896898612</v>
      </c>
      <c r="BY151" s="6">
        <f t="shared" si="223"/>
        <v>2.0663999999999998</v>
      </c>
      <c r="BZ151" s="179">
        <f t="shared" si="224"/>
        <v>0.91317492712497994</v>
      </c>
      <c r="CA151" s="6">
        <f t="shared" si="225"/>
        <v>91.317492712497994</v>
      </c>
      <c r="CB151">
        <f t="shared" si="226"/>
        <v>40.999999999999993</v>
      </c>
      <c r="CD151" s="581">
        <f t="shared" si="251"/>
        <v>-50</v>
      </c>
      <c r="CE151">
        <f t="shared" si="252"/>
        <v>-50</v>
      </c>
    </row>
    <row r="152" spans="5:83" x14ac:dyDescent="0.2">
      <c r="E152" s="176">
        <v>42</v>
      </c>
      <c r="F152" s="223">
        <f t="shared" si="253"/>
        <v>4.6199999999999998E-2</v>
      </c>
      <c r="G152" s="223">
        <f t="shared" si="234"/>
        <v>8.4000000000000005E-2</v>
      </c>
      <c r="H152" s="223">
        <f t="shared" si="235"/>
        <v>1.1088</v>
      </c>
      <c r="I152" s="223">
        <f t="shared" si="236"/>
        <v>1.008</v>
      </c>
      <c r="J152" s="559">
        <f t="shared" si="171"/>
        <v>10</v>
      </c>
      <c r="K152" s="454">
        <f t="shared" si="172"/>
        <v>24.25</v>
      </c>
      <c r="L152" s="454">
        <f t="shared" si="173"/>
        <v>34.25</v>
      </c>
      <c r="M152" s="454"/>
      <c r="N152" s="223">
        <f t="shared" si="174"/>
        <v>0.70802919708029199</v>
      </c>
      <c r="O152" s="178">
        <f t="shared" si="237"/>
        <v>2.5543839068474097</v>
      </c>
      <c r="P152" s="178">
        <f t="shared" si="238"/>
        <v>4.4332282680822832</v>
      </c>
      <c r="Q152" s="223">
        <f t="shared" si="177"/>
        <v>0.10643266278530873</v>
      </c>
      <c r="R152" s="223">
        <f t="shared" si="239"/>
        <v>0.21286532557061746</v>
      </c>
      <c r="S152" s="223">
        <f t="shared" si="240"/>
        <v>24</v>
      </c>
      <c r="T152" s="223">
        <f t="shared" si="241"/>
        <v>0.62941204557786212</v>
      </c>
      <c r="U152" s="223">
        <f t="shared" si="181"/>
        <v>2.9582366142159517</v>
      </c>
      <c r="V152" s="223">
        <f t="shared" si="182"/>
        <v>1.2198913873055472</v>
      </c>
      <c r="W152" s="203">
        <f t="shared" si="183"/>
        <v>350</v>
      </c>
      <c r="X152" s="454">
        <f t="shared" si="184"/>
        <v>239.34163808189746</v>
      </c>
      <c r="Z152" s="223">
        <f t="shared" si="185"/>
        <v>0.43041288576309544</v>
      </c>
      <c r="AA152" s="179">
        <f t="shared" si="186"/>
        <v>0.83420229405630864</v>
      </c>
      <c r="AB152" s="179">
        <f t="shared" si="242"/>
        <v>3.2913046530372254E-2</v>
      </c>
      <c r="AC152" s="179"/>
      <c r="AD152" s="179">
        <f t="shared" si="188"/>
        <v>0.56206185567010303</v>
      </c>
      <c r="AE152" s="563">
        <f t="shared" si="243"/>
        <v>566.8783363270677</v>
      </c>
      <c r="AF152" s="546">
        <f t="shared" si="244"/>
        <v>2.8524639175257726E-2</v>
      </c>
      <c r="AH152" s="179">
        <f t="shared" si="245"/>
        <v>0.50730829101017028</v>
      </c>
      <c r="AI152" s="179">
        <f t="shared" si="246"/>
        <v>0.62941204557786212</v>
      </c>
      <c r="AJ152" s="179">
        <f t="shared" si="247"/>
        <v>1.4514163300576757</v>
      </c>
      <c r="AL152" s="563">
        <f t="shared" si="248"/>
        <v>46.199999999999996</v>
      </c>
      <c r="AM152" s="472">
        <f t="shared" si="249"/>
        <v>239.34163808189746</v>
      </c>
      <c r="AO152" s="472">
        <f t="shared" si="196"/>
        <v>46.199999999999996</v>
      </c>
      <c r="AP152" s="472">
        <f t="shared" si="197"/>
        <v>239.34163808189746</v>
      </c>
      <c r="AR152" s="6">
        <f t="shared" si="233"/>
        <v>4.1781280015214985</v>
      </c>
      <c r="AS152" s="6">
        <f t="shared" si="230"/>
        <v>2.9582366142159517</v>
      </c>
      <c r="AT152" s="6">
        <f t="shared" si="231"/>
        <v>1.2198913873055468</v>
      </c>
      <c r="AU152" s="179">
        <f t="shared" si="232"/>
        <v>0.70802919708029199</v>
      </c>
      <c r="AW152" s="6">
        <f t="shared" si="201"/>
        <v>0.56946054823657077</v>
      </c>
      <c r="AX152" s="6">
        <f t="shared" si="202"/>
        <v>2.0707656299511665</v>
      </c>
      <c r="AY152" s="6">
        <f t="shared" si="203"/>
        <v>0.23730097723585791</v>
      </c>
      <c r="AZ152" s="6"/>
      <c r="BA152" s="179">
        <f t="shared" si="204"/>
        <v>0.30577361400732905</v>
      </c>
      <c r="BB152" s="179">
        <f t="shared" si="205"/>
        <v>0.19635598119164391</v>
      </c>
      <c r="BC152" s="179">
        <f t="shared" si="206"/>
        <v>0.35336790678273577</v>
      </c>
      <c r="BD152" s="179"/>
      <c r="BE152" s="546">
        <f t="shared" si="207"/>
        <v>3.272412605808607E-2</v>
      </c>
      <c r="BF152" s="546">
        <f t="shared" si="208"/>
        <v>3.8696808510638302E-2</v>
      </c>
      <c r="BG152" s="546">
        <f t="shared" si="209"/>
        <v>2.9917704760237182E-3</v>
      </c>
      <c r="BH152" s="546">
        <f t="shared" si="210"/>
        <v>1.4038135016122293E-2</v>
      </c>
      <c r="BI152">
        <f t="shared" si="211"/>
        <v>2.8999999999999998E-3</v>
      </c>
      <c r="BK152" s="472">
        <f t="shared" si="212"/>
        <v>91.350840060870382</v>
      </c>
      <c r="BL152" s="179">
        <f t="shared" si="213"/>
        <v>1.3859999999999999E-2</v>
      </c>
      <c r="BM152" s="179">
        <f t="shared" si="214"/>
        <v>2.52E-2</v>
      </c>
      <c r="BN152" s="546"/>
      <c r="BP152" s="472">
        <f t="shared" si="215"/>
        <v>39.059999999999995</v>
      </c>
      <c r="BQ152" s="546">
        <f t="shared" si="216"/>
        <v>1.8699500604620611E-2</v>
      </c>
      <c r="BR152" s="546">
        <f t="shared" si="217"/>
        <v>7.7111342699466429E-3</v>
      </c>
      <c r="BS152" s="546">
        <f t="shared" si="218"/>
        <v>1.2486887754401224E-2</v>
      </c>
      <c r="BT152" s="546">
        <f t="shared" si="219"/>
        <v>1.3926862161630846E-2</v>
      </c>
      <c r="BU152" s="546"/>
      <c r="BV152" s="656">
        <f t="shared" si="250"/>
        <v>1.7541231802911537E-2</v>
      </c>
      <c r="BW152" s="472">
        <f t="shared" si="221"/>
        <v>70.36561659351085</v>
      </c>
      <c r="BX152" s="179">
        <f t="shared" si="222"/>
        <v>0.20077645665438124</v>
      </c>
      <c r="BY152" s="6">
        <f t="shared" si="223"/>
        <v>2.1168</v>
      </c>
      <c r="BZ152" s="179">
        <f t="shared" si="224"/>
        <v>0.91336792532652011</v>
      </c>
      <c r="CA152" s="6">
        <f t="shared" si="225"/>
        <v>91.336792532652012</v>
      </c>
      <c r="CB152">
        <f t="shared" si="226"/>
        <v>42</v>
      </c>
      <c r="CD152" s="581">
        <f t="shared" si="251"/>
        <v>-50</v>
      </c>
      <c r="CE152">
        <f t="shared" si="252"/>
        <v>-50</v>
      </c>
    </row>
    <row r="153" spans="5:83" x14ac:dyDescent="0.2">
      <c r="E153" s="176">
        <v>43</v>
      </c>
      <c r="F153" s="223">
        <f t="shared" si="253"/>
        <v>4.7300000000000002E-2</v>
      </c>
      <c r="G153" s="223">
        <f t="shared" si="234"/>
        <v>8.6000000000000007E-2</v>
      </c>
      <c r="H153" s="223">
        <f t="shared" si="235"/>
        <v>1.1352</v>
      </c>
      <c r="I153" s="223">
        <f t="shared" si="236"/>
        <v>1.032</v>
      </c>
      <c r="J153" s="559">
        <f t="shared" si="171"/>
        <v>10</v>
      </c>
      <c r="K153" s="454">
        <f t="shared" si="172"/>
        <v>24.25</v>
      </c>
      <c r="L153" s="454">
        <f t="shared" si="173"/>
        <v>34.25</v>
      </c>
      <c r="M153" s="454"/>
      <c r="N153" s="223">
        <f t="shared" si="174"/>
        <v>0.70802919708029199</v>
      </c>
      <c r="O153" s="178">
        <f t="shared" si="237"/>
        <v>2.5543839068474097</v>
      </c>
      <c r="P153" s="178">
        <f t="shared" si="238"/>
        <v>4.4332282680822832</v>
      </c>
      <c r="Q153" s="223">
        <f t="shared" si="177"/>
        <v>0.10643266278530873</v>
      </c>
      <c r="R153" s="223">
        <f t="shared" si="239"/>
        <v>0.21286532557061746</v>
      </c>
      <c r="S153" s="223">
        <f t="shared" si="240"/>
        <v>24</v>
      </c>
      <c r="T153" s="223">
        <f t="shared" si="241"/>
        <v>0.64439804666304945</v>
      </c>
      <c r="U153" s="223">
        <f t="shared" si="181"/>
        <v>3.0286708193163325</v>
      </c>
      <c r="V153" s="223">
        <f t="shared" si="182"/>
        <v>1.2489364203366318</v>
      </c>
      <c r="W153" s="203">
        <f t="shared" si="183"/>
        <v>350</v>
      </c>
      <c r="X153" s="454">
        <f t="shared" si="184"/>
        <v>233.77555347534164</v>
      </c>
      <c r="Z153" s="223">
        <f t="shared" si="185"/>
        <v>0.43041288576309544</v>
      </c>
      <c r="AA153" s="179">
        <f t="shared" si="186"/>
        <v>0.83420229405630864</v>
      </c>
      <c r="AB153" s="179">
        <f t="shared" si="242"/>
        <v>3.2913046530372254E-2</v>
      </c>
      <c r="AC153" s="179"/>
      <c r="AD153" s="179">
        <f t="shared" si="188"/>
        <v>0.56206185567010303</v>
      </c>
      <c r="AE153" s="563">
        <f t="shared" si="243"/>
        <v>580.3754395729502</v>
      </c>
      <c r="AF153" s="546">
        <f t="shared" si="244"/>
        <v>2.8524639175257726E-2</v>
      </c>
      <c r="AH153" s="179">
        <f t="shared" si="245"/>
        <v>0.51331214840691985</v>
      </c>
      <c r="AI153" s="179">
        <f t="shared" si="246"/>
        <v>0.64439804666304945</v>
      </c>
      <c r="AJ153" s="179">
        <f t="shared" si="247"/>
        <v>1.4625170716022589</v>
      </c>
      <c r="AL153" s="563">
        <f t="shared" si="248"/>
        <v>47.300000000000004</v>
      </c>
      <c r="AM153" s="472">
        <f t="shared" si="249"/>
        <v>233.77555347534164</v>
      </c>
      <c r="AO153" s="472">
        <f t="shared" si="196"/>
        <v>47.300000000000004</v>
      </c>
      <c r="AP153" s="472">
        <f t="shared" si="197"/>
        <v>233.77555347534164</v>
      </c>
      <c r="AR153" s="6">
        <f t="shared" si="233"/>
        <v>4.2776072396529639</v>
      </c>
      <c r="AS153" s="6">
        <f t="shared" si="230"/>
        <v>3.0286708193163325</v>
      </c>
      <c r="AT153" s="6">
        <f t="shared" si="231"/>
        <v>1.2489364203366313</v>
      </c>
      <c r="AU153" s="179">
        <f t="shared" si="232"/>
        <v>0.70802919708029211</v>
      </c>
      <c r="AW153" s="6">
        <f t="shared" si="201"/>
        <v>0.59690054064026055</v>
      </c>
      <c r="AX153" s="6">
        <f t="shared" si="202"/>
        <v>2.1705474205100384</v>
      </c>
      <c r="AY153" s="6">
        <f t="shared" si="203"/>
        <v>0.24873554813441123</v>
      </c>
      <c r="AZ153" s="6"/>
      <c r="BA153" s="179">
        <f t="shared" si="204"/>
        <v>0.31305393815036076</v>
      </c>
      <c r="BB153" s="179">
        <f t="shared" si="205"/>
        <v>0.20103112360096875</v>
      </c>
      <c r="BC153" s="179">
        <f t="shared" si="206"/>
        <v>0.36178142837280097</v>
      </c>
      <c r="BD153" s="179"/>
      <c r="BE153" s="546">
        <f t="shared" si="207"/>
        <v>3.430096886700746E-2</v>
      </c>
      <c r="BF153" s="546">
        <f t="shared" si="208"/>
        <v>3.8696808510638302E-2</v>
      </c>
      <c r="BG153" s="546">
        <f t="shared" si="209"/>
        <v>2.9221944184417703E-3</v>
      </c>
      <c r="BH153" s="546">
        <f t="shared" si="210"/>
        <v>1.3711666759933398E-2</v>
      </c>
      <c r="BI153">
        <f t="shared" si="211"/>
        <v>2.8999999999999998E-3</v>
      </c>
      <c r="BK153" s="472">
        <f t="shared" si="212"/>
        <v>92.531638556020937</v>
      </c>
      <c r="BL153" s="179">
        <f t="shared" si="213"/>
        <v>1.4189999999999999E-2</v>
      </c>
      <c r="BM153" s="179">
        <f t="shared" si="214"/>
        <v>2.58E-2</v>
      </c>
      <c r="BN153" s="546"/>
      <c r="BP153" s="472">
        <f t="shared" si="215"/>
        <v>39.989999999999995</v>
      </c>
      <c r="BQ153" s="546">
        <f t="shared" si="216"/>
        <v>1.9600553638289983E-2</v>
      </c>
      <c r="BR153" s="546">
        <f t="shared" si="217"/>
        <v>8.0827025312535956E-3</v>
      </c>
      <c r="BS153" s="546">
        <f t="shared" si="218"/>
        <v>1.3088580191546413E-2</v>
      </c>
      <c r="BT153" s="546">
        <f t="shared" si="219"/>
        <v>1.3926862161630846E-2</v>
      </c>
      <c r="BU153" s="546"/>
      <c r="BV153" s="656">
        <f t="shared" si="250"/>
        <v>1.7958880179171337E-2</v>
      </c>
      <c r="BW153" s="472">
        <f t="shared" si="221"/>
        <v>72.657578701892163</v>
      </c>
      <c r="BX153" s="179">
        <f t="shared" si="222"/>
        <v>0.20517921725791308</v>
      </c>
      <c r="BY153" s="6">
        <f t="shared" si="223"/>
        <v>2.1672000000000002</v>
      </c>
      <c r="BZ153" s="179">
        <f t="shared" si="224"/>
        <v>0.91351331365351141</v>
      </c>
      <c r="CA153" s="6">
        <f t="shared" si="225"/>
        <v>91.351331365351143</v>
      </c>
      <c r="CB153">
        <f t="shared" si="226"/>
        <v>43</v>
      </c>
      <c r="CD153" s="581">
        <f t="shared" si="251"/>
        <v>-50</v>
      </c>
      <c r="CE153">
        <f t="shared" si="252"/>
        <v>-50</v>
      </c>
    </row>
    <row r="154" spans="5:83" x14ac:dyDescent="0.2">
      <c r="E154" s="176">
        <v>44</v>
      </c>
      <c r="F154" s="223">
        <f t="shared" si="253"/>
        <v>4.8399999999999999E-2</v>
      </c>
      <c r="G154" s="223">
        <f t="shared" si="234"/>
        <v>8.8000000000000009E-2</v>
      </c>
      <c r="H154" s="223">
        <f t="shared" si="235"/>
        <v>1.1616</v>
      </c>
      <c r="I154" s="223">
        <f t="shared" si="236"/>
        <v>1.056</v>
      </c>
      <c r="J154" s="559">
        <f t="shared" si="171"/>
        <v>10</v>
      </c>
      <c r="K154" s="454">
        <f t="shared" si="172"/>
        <v>24.25</v>
      </c>
      <c r="L154" s="454">
        <f t="shared" si="173"/>
        <v>34.25</v>
      </c>
      <c r="M154" s="454"/>
      <c r="N154" s="223">
        <f t="shared" si="174"/>
        <v>0.70802919708029199</v>
      </c>
      <c r="O154" s="178">
        <f t="shared" si="237"/>
        <v>2.5543839068474097</v>
      </c>
      <c r="P154" s="178">
        <f t="shared" si="238"/>
        <v>4.4332282680822832</v>
      </c>
      <c r="Q154" s="223">
        <f t="shared" si="177"/>
        <v>0.10643266278530873</v>
      </c>
      <c r="R154" s="223">
        <f t="shared" si="239"/>
        <v>0.21286532557061746</v>
      </c>
      <c r="S154" s="223">
        <f t="shared" si="240"/>
        <v>24</v>
      </c>
      <c r="T154" s="223">
        <f t="shared" si="241"/>
        <v>0.65938404774823656</v>
      </c>
      <c r="U154" s="223">
        <f t="shared" si="181"/>
        <v>3.099105024416712</v>
      </c>
      <c r="V154" s="223">
        <f t="shared" si="182"/>
        <v>1.2779814533677163</v>
      </c>
      <c r="W154" s="203">
        <f t="shared" si="183"/>
        <v>350</v>
      </c>
      <c r="X154" s="454">
        <f t="shared" si="184"/>
        <v>228.46247271453842</v>
      </c>
      <c r="Z154" s="223">
        <f t="shared" si="185"/>
        <v>0.43041288576309544</v>
      </c>
      <c r="AA154" s="179">
        <f t="shared" si="186"/>
        <v>0.83420229405630864</v>
      </c>
      <c r="AB154" s="179">
        <f t="shared" si="242"/>
        <v>3.2913046530372254E-2</v>
      </c>
      <c r="AC154" s="179"/>
      <c r="AD154" s="179">
        <f t="shared" si="188"/>
        <v>0.56206185567010303</v>
      </c>
      <c r="AE154" s="563">
        <f t="shared" si="243"/>
        <v>593.87254281883281</v>
      </c>
      <c r="AF154" s="546">
        <f t="shared" si="244"/>
        <v>2.8524639175257726E-2</v>
      </c>
      <c r="AH154" s="179">
        <f t="shared" si="245"/>
        <v>0.51924659004811557</v>
      </c>
      <c r="AI154" s="179">
        <f t="shared" si="246"/>
        <v>0.65938404774823656</v>
      </c>
      <c r="AJ154" s="179">
        <f t="shared" si="247"/>
        <v>1.4736178131468418</v>
      </c>
      <c r="AL154" s="563">
        <f t="shared" si="248"/>
        <v>48.4</v>
      </c>
      <c r="AM154" s="472">
        <f t="shared" si="249"/>
        <v>228.46247271453842</v>
      </c>
      <c r="AO154" s="472">
        <f t="shared" si="196"/>
        <v>48.4</v>
      </c>
      <c r="AP154" s="472">
        <f t="shared" si="197"/>
        <v>228.46247271453842</v>
      </c>
      <c r="AR154" s="6">
        <f t="shared" si="233"/>
        <v>4.3770864777844283</v>
      </c>
      <c r="AS154" s="6">
        <f t="shared" si="230"/>
        <v>3.099105024416712</v>
      </c>
      <c r="AT154" s="6">
        <f t="shared" si="231"/>
        <v>1.2779814533677163</v>
      </c>
      <c r="AU154" s="179">
        <f t="shared" si="232"/>
        <v>0.70802919708029199</v>
      </c>
      <c r="AW154" s="6">
        <f t="shared" si="201"/>
        <v>0.62498617992403693</v>
      </c>
      <c r="AX154" s="6">
        <f t="shared" si="202"/>
        <v>2.2726770179055888</v>
      </c>
      <c r="AY154" s="6">
        <f t="shared" si="203"/>
        <v>0.26043916775998927</v>
      </c>
      <c r="AZ154" s="6"/>
      <c r="BA154" s="179">
        <f t="shared" si="204"/>
        <v>0.32033426229339235</v>
      </c>
      <c r="BB154" s="179">
        <f t="shared" si="205"/>
        <v>0.20570626601029363</v>
      </c>
      <c r="BC154" s="179">
        <f t="shared" si="206"/>
        <v>0.37019494996286612</v>
      </c>
      <c r="BD154" s="179"/>
      <c r="BE154" s="546">
        <f t="shared" si="207"/>
        <v>3.5914913859668156E-2</v>
      </c>
      <c r="BF154" s="546">
        <f t="shared" si="208"/>
        <v>3.8696808510638288E-2</v>
      </c>
      <c r="BG154" s="546">
        <f t="shared" si="209"/>
        <v>2.8557809089317303E-3</v>
      </c>
      <c r="BH154" s="546">
        <f t="shared" si="210"/>
        <v>1.340003796993491E-2</v>
      </c>
      <c r="BI154">
        <f t="shared" si="211"/>
        <v>2.8999999999999998E-3</v>
      </c>
      <c r="BK154" s="472">
        <f t="shared" si="212"/>
        <v>93.767541249173078</v>
      </c>
      <c r="BL154" s="179">
        <f t="shared" si="213"/>
        <v>1.4519999999999998E-2</v>
      </c>
      <c r="BM154" s="179">
        <f t="shared" si="214"/>
        <v>2.6400000000000003E-2</v>
      </c>
      <c r="BN154" s="546"/>
      <c r="BP154" s="472">
        <f t="shared" si="215"/>
        <v>40.919999999999995</v>
      </c>
      <c r="BQ154" s="546">
        <f t="shared" si="216"/>
        <v>2.0522807919810378E-2</v>
      </c>
      <c r="BR154" s="546">
        <f t="shared" si="217"/>
        <v>8.4630135751795378E-3</v>
      </c>
      <c r="BS154" s="546">
        <f t="shared" si="218"/>
        <v>1.3704430097800896E-2</v>
      </c>
      <c r="BT154" s="546">
        <f t="shared" si="219"/>
        <v>1.3926862161630828E-2</v>
      </c>
      <c r="BU154" s="546"/>
      <c r="BV154" s="656">
        <f t="shared" si="250"/>
        <v>1.8376528555431131E-2</v>
      </c>
      <c r="BW154" s="472">
        <f t="shared" si="221"/>
        <v>74.993642309852788</v>
      </c>
      <c r="BX154" s="179">
        <f t="shared" si="222"/>
        <v>0.20968118355902585</v>
      </c>
      <c r="BY154" s="6">
        <f t="shared" si="223"/>
        <v>2.2176</v>
      </c>
      <c r="BZ154" s="179">
        <f t="shared" si="224"/>
        <v>0.91361479461906481</v>
      </c>
      <c r="CA154" s="6">
        <f t="shared" si="225"/>
        <v>91.361479461906484</v>
      </c>
      <c r="CB154">
        <f t="shared" si="226"/>
        <v>44</v>
      </c>
      <c r="CD154" s="581">
        <f t="shared" si="251"/>
        <v>-50</v>
      </c>
      <c r="CE154">
        <f t="shared" si="252"/>
        <v>-50</v>
      </c>
    </row>
    <row r="155" spans="5:83" x14ac:dyDescent="0.2">
      <c r="E155" s="176">
        <v>45</v>
      </c>
      <c r="F155" s="223">
        <f t="shared" si="253"/>
        <v>4.9500000000000002E-2</v>
      </c>
      <c r="G155" s="223">
        <f t="shared" si="234"/>
        <v>9.0000000000000011E-2</v>
      </c>
      <c r="H155" s="223">
        <f t="shared" si="235"/>
        <v>1.1880000000000002</v>
      </c>
      <c r="I155" s="223">
        <f t="shared" si="236"/>
        <v>1.08</v>
      </c>
      <c r="J155" s="559">
        <f t="shared" si="171"/>
        <v>10</v>
      </c>
      <c r="K155" s="454">
        <f t="shared" si="172"/>
        <v>24.25</v>
      </c>
      <c r="L155" s="454">
        <f t="shared" si="173"/>
        <v>34.25</v>
      </c>
      <c r="M155" s="454"/>
      <c r="N155" s="223">
        <f t="shared" si="174"/>
        <v>0.70802919708029199</v>
      </c>
      <c r="O155" s="178">
        <f t="shared" si="237"/>
        <v>2.5543839068474097</v>
      </c>
      <c r="P155" s="178">
        <f t="shared" si="238"/>
        <v>4.4332282680822832</v>
      </c>
      <c r="Q155" s="223">
        <f t="shared" si="177"/>
        <v>0.10643266278530873</v>
      </c>
      <c r="R155" s="223">
        <f t="shared" si="239"/>
        <v>0.21286532557061746</v>
      </c>
      <c r="S155" s="223">
        <f t="shared" si="240"/>
        <v>24</v>
      </c>
      <c r="T155" s="223">
        <f t="shared" si="241"/>
        <v>0.67437004883342377</v>
      </c>
      <c r="U155" s="223">
        <f t="shared" si="181"/>
        <v>3.1695392295170919</v>
      </c>
      <c r="V155" s="223">
        <f t="shared" si="182"/>
        <v>1.3070264863988008</v>
      </c>
      <c r="W155" s="203">
        <f t="shared" si="183"/>
        <v>350</v>
      </c>
      <c r="X155" s="454">
        <f t="shared" si="184"/>
        <v>223.38552887643755</v>
      </c>
      <c r="Z155" s="223">
        <f t="shared" si="185"/>
        <v>0.43041288576309544</v>
      </c>
      <c r="AA155" s="179">
        <f t="shared" si="186"/>
        <v>0.83420229405630864</v>
      </c>
      <c r="AB155" s="179">
        <f t="shared" si="242"/>
        <v>3.2913046530372254E-2</v>
      </c>
      <c r="AC155" s="179"/>
      <c r="AD155" s="179">
        <f t="shared" si="188"/>
        <v>0.56206185567010303</v>
      </c>
      <c r="AE155" s="563">
        <f t="shared" si="243"/>
        <v>607.36964606471543</v>
      </c>
      <c r="AF155" s="546">
        <f t="shared" si="244"/>
        <v>2.8524639175257726E-2</v>
      </c>
      <c r="AH155" s="179">
        <f t="shared" si="245"/>
        <v>0.52511396939242039</v>
      </c>
      <c r="AI155" s="179">
        <f t="shared" si="246"/>
        <v>0.67437004883342377</v>
      </c>
      <c r="AJ155" s="179">
        <f t="shared" si="247"/>
        <v>1.484718554691425</v>
      </c>
      <c r="AL155" s="563">
        <f t="shared" si="248"/>
        <v>49.5</v>
      </c>
      <c r="AM155" s="472">
        <f t="shared" si="249"/>
        <v>223.38552887643755</v>
      </c>
      <c r="AO155" s="472">
        <f t="shared" si="196"/>
        <v>49.5</v>
      </c>
      <c r="AP155" s="472">
        <f t="shared" si="197"/>
        <v>223.38552887643755</v>
      </c>
      <c r="AR155" s="6">
        <f t="shared" si="233"/>
        <v>4.4765657159158927</v>
      </c>
      <c r="AS155" s="6">
        <f t="shared" si="230"/>
        <v>3.1695392295170919</v>
      </c>
      <c r="AT155" s="6">
        <f t="shared" si="231"/>
        <v>1.3070264863988008</v>
      </c>
      <c r="AU155" s="179">
        <f t="shared" si="232"/>
        <v>0.70802919708029199</v>
      </c>
      <c r="AW155" s="6">
        <f t="shared" si="201"/>
        <v>0.65371746608790016</v>
      </c>
      <c r="AX155" s="6">
        <f t="shared" si="202"/>
        <v>2.3771544221378189</v>
      </c>
      <c r="AY155" s="6">
        <f t="shared" si="203"/>
        <v>0.27241183611259218</v>
      </c>
      <c r="AZ155" s="6"/>
      <c r="BA155" s="179">
        <f t="shared" si="204"/>
        <v>0.32761458643642399</v>
      </c>
      <c r="BB155" s="179">
        <f t="shared" si="205"/>
        <v>0.21038140841961847</v>
      </c>
      <c r="BC155" s="179">
        <f t="shared" si="206"/>
        <v>0.3786084715529312</v>
      </c>
      <c r="BD155" s="179"/>
      <c r="BE155" s="546">
        <f t="shared" si="207"/>
        <v>3.7565961036068192E-2</v>
      </c>
      <c r="BF155" s="546">
        <f t="shared" si="208"/>
        <v>3.8696808510638288E-2</v>
      </c>
      <c r="BG155" s="546">
        <f t="shared" si="209"/>
        <v>2.7923191109554693E-3</v>
      </c>
      <c r="BH155" s="546">
        <f t="shared" si="210"/>
        <v>1.3102259348380801E-2</v>
      </c>
      <c r="BI155">
        <f t="shared" si="211"/>
        <v>2.8999999999999998E-3</v>
      </c>
      <c r="BK155" s="472">
        <f t="shared" si="212"/>
        <v>95.057348006042744</v>
      </c>
      <c r="BL155" s="179">
        <f t="shared" si="213"/>
        <v>1.485E-2</v>
      </c>
      <c r="BM155" s="179">
        <f t="shared" si="214"/>
        <v>2.7000000000000003E-2</v>
      </c>
      <c r="BN155" s="546"/>
      <c r="BP155" s="472">
        <f t="shared" si="215"/>
        <v>41.850000000000009</v>
      </c>
      <c r="BQ155" s="546">
        <f t="shared" si="216"/>
        <v>2.1466263449181826E-2</v>
      </c>
      <c r="BR155" s="546">
        <f t="shared" si="217"/>
        <v>8.8520674017244626E-3</v>
      </c>
      <c r="BS155" s="546">
        <f t="shared" si="218"/>
        <v>1.4334437473164673E-2</v>
      </c>
      <c r="BT155" s="546">
        <f t="shared" si="219"/>
        <v>1.3926862161630842E-2</v>
      </c>
      <c r="BU155" s="546"/>
      <c r="BV155" s="656">
        <f t="shared" si="250"/>
        <v>1.8794176931690929E-2</v>
      </c>
      <c r="BW155" s="472">
        <f t="shared" si="221"/>
        <v>77.37380741739274</v>
      </c>
      <c r="BX155" s="179">
        <f t="shared" si="222"/>
        <v>0.21428115542343545</v>
      </c>
      <c r="BY155" s="6">
        <f t="shared" si="223"/>
        <v>2.2680000000000002</v>
      </c>
      <c r="BZ155" s="179">
        <f t="shared" si="224"/>
        <v>0.91367571116782587</v>
      </c>
      <c r="CA155" s="6">
        <f t="shared" si="225"/>
        <v>91.367571116782585</v>
      </c>
      <c r="CB155">
        <f t="shared" si="226"/>
        <v>45</v>
      </c>
      <c r="CD155" s="581">
        <f t="shared" si="251"/>
        <v>-50</v>
      </c>
      <c r="CE155">
        <f t="shared" si="252"/>
        <v>-50</v>
      </c>
    </row>
    <row r="156" spans="5:83" s="78" customFormat="1" x14ac:dyDescent="0.2">
      <c r="E156" s="195">
        <v>46</v>
      </c>
      <c r="F156" s="335">
        <f t="shared" si="253"/>
        <v>5.0599999999999999E-2</v>
      </c>
      <c r="G156" s="223">
        <f t="shared" si="234"/>
        <v>9.2000000000000012E-2</v>
      </c>
      <c r="H156" s="335">
        <f t="shared" si="235"/>
        <v>1.2143999999999999</v>
      </c>
      <c r="I156" s="223">
        <f t="shared" si="236"/>
        <v>1.1040000000000001</v>
      </c>
      <c r="J156" s="559">
        <f t="shared" si="171"/>
        <v>10</v>
      </c>
      <c r="K156" s="553">
        <f t="shared" si="172"/>
        <v>24.25</v>
      </c>
      <c r="L156" s="553">
        <f t="shared" si="173"/>
        <v>34.25</v>
      </c>
      <c r="M156" s="553"/>
      <c r="N156" s="335">
        <f t="shared" si="174"/>
        <v>0.70802919708029199</v>
      </c>
      <c r="O156" s="178">
        <f t="shared" si="237"/>
        <v>2.5543839068474097</v>
      </c>
      <c r="P156" s="178">
        <f t="shared" si="238"/>
        <v>4.4332282680822832</v>
      </c>
      <c r="Q156" s="335">
        <f t="shared" si="177"/>
        <v>0.10643266278530873</v>
      </c>
      <c r="R156" s="223">
        <f t="shared" si="239"/>
        <v>0.21286532557061746</v>
      </c>
      <c r="S156" s="335">
        <f t="shared" si="240"/>
        <v>24</v>
      </c>
      <c r="T156" s="223">
        <f t="shared" si="241"/>
        <v>0.68935604991861099</v>
      </c>
      <c r="U156" s="335">
        <f t="shared" si="181"/>
        <v>3.2399734346174718</v>
      </c>
      <c r="V156" s="335">
        <f t="shared" si="182"/>
        <v>1.3360715194298853</v>
      </c>
      <c r="W156" s="555">
        <f t="shared" si="183"/>
        <v>350</v>
      </c>
      <c r="X156" s="553">
        <f t="shared" si="184"/>
        <v>218.52932172694977</v>
      </c>
      <c r="Z156" s="335">
        <f t="shared" si="185"/>
        <v>0.43041288576309544</v>
      </c>
      <c r="AA156" s="556">
        <f t="shared" si="186"/>
        <v>0.83420229405630864</v>
      </c>
      <c r="AB156" s="179">
        <f t="shared" si="242"/>
        <v>3.2913046530372254E-2</v>
      </c>
      <c r="AC156" s="556"/>
      <c r="AD156" s="556">
        <f t="shared" si="188"/>
        <v>0.56206185567010303</v>
      </c>
      <c r="AE156" s="563">
        <f t="shared" si="243"/>
        <v>620.86674931059792</v>
      </c>
      <c r="AF156" s="546">
        <f t="shared" si="244"/>
        <v>2.8524639175257726E-2</v>
      </c>
      <c r="AH156" s="179">
        <f t="shared" si="245"/>
        <v>0.53091650984456296</v>
      </c>
      <c r="AI156" s="556">
        <f t="shared" si="246"/>
        <v>0.68935604991861099</v>
      </c>
      <c r="AJ156" s="556">
        <f t="shared" si="247"/>
        <v>1.4958192962360082</v>
      </c>
      <c r="AL156" s="583">
        <f t="shared" si="248"/>
        <v>50.6</v>
      </c>
      <c r="AM156" s="584">
        <f t="shared" si="249"/>
        <v>218.52932172694977</v>
      </c>
      <c r="AO156" s="78">
        <f t="shared" si="196"/>
        <v>50.6</v>
      </c>
      <c r="AP156" s="78">
        <f t="shared" si="197"/>
        <v>218.52932172694977</v>
      </c>
      <c r="AR156" s="552">
        <f t="shared" si="233"/>
        <v>4.5760449540473571</v>
      </c>
      <c r="AS156" s="6">
        <f t="shared" si="230"/>
        <v>3.2399734346174718</v>
      </c>
      <c r="AT156" s="6">
        <f t="shared" si="231"/>
        <v>1.3360715194298853</v>
      </c>
      <c r="AU156" s="179">
        <f t="shared" si="232"/>
        <v>0.70802919708029199</v>
      </c>
      <c r="AW156" s="6">
        <f t="shared" si="201"/>
        <v>0.68309439913185022</v>
      </c>
      <c r="AX156" s="6">
        <f t="shared" si="202"/>
        <v>2.4839796332067285</v>
      </c>
      <c r="AY156" s="6">
        <f t="shared" si="203"/>
        <v>0.28465355319221974</v>
      </c>
      <c r="AZ156" s="6"/>
      <c r="BA156" s="179">
        <f t="shared" si="204"/>
        <v>0.3348949105794557</v>
      </c>
      <c r="BB156" s="179">
        <f t="shared" si="205"/>
        <v>0.21505655082894334</v>
      </c>
      <c r="BC156" s="179">
        <f t="shared" si="206"/>
        <v>0.3870219931429964</v>
      </c>
      <c r="BD156" s="179"/>
      <c r="BE156" s="546">
        <f t="shared" si="207"/>
        <v>3.9254110396207569E-2</v>
      </c>
      <c r="BF156" s="546">
        <f t="shared" si="208"/>
        <v>3.8696808510638288E-2</v>
      </c>
      <c r="BG156" s="546">
        <f t="shared" si="209"/>
        <v>2.7316165215868723E-3</v>
      </c>
      <c r="BH156" s="546">
        <f t="shared" si="210"/>
        <v>1.2817427623416E-2</v>
      </c>
      <c r="BI156">
        <f t="shared" si="211"/>
        <v>2.8999999999999998E-3</v>
      </c>
      <c r="BJ156"/>
      <c r="BK156" s="472">
        <f t="shared" si="212"/>
        <v>96.399963051848744</v>
      </c>
      <c r="BL156" s="179">
        <f t="shared" si="213"/>
        <v>1.5179999999999999E-2</v>
      </c>
      <c r="BM156" s="179">
        <f t="shared" si="214"/>
        <v>2.7600000000000003E-2</v>
      </c>
      <c r="BN156" s="546"/>
      <c r="BO156"/>
      <c r="BP156" s="472">
        <f t="shared" si="215"/>
        <v>42.78</v>
      </c>
      <c r="BQ156" s="546">
        <f t="shared" si="216"/>
        <v>2.2430920226404326E-2</v>
      </c>
      <c r="BR156" s="546">
        <f t="shared" si="217"/>
        <v>9.2498640108883787E-3</v>
      </c>
      <c r="BS156" s="546">
        <f t="shared" si="218"/>
        <v>1.4978602317637755E-2</v>
      </c>
      <c r="BT156" s="546">
        <f t="shared" si="219"/>
        <v>1.3926862161630837E-2</v>
      </c>
      <c r="BU156" s="546"/>
      <c r="BV156" s="656">
        <f t="shared" si="250"/>
        <v>1.9211825307950726E-2</v>
      </c>
      <c r="BW156" s="472">
        <f t="shared" si="221"/>
        <v>79.798074024512033</v>
      </c>
      <c r="BX156" s="179">
        <f t="shared" si="222"/>
        <v>0.21897803707636077</v>
      </c>
      <c r="BY156" s="6">
        <f t="shared" si="223"/>
        <v>2.3184</v>
      </c>
      <c r="BZ156" s="179">
        <f t="shared" si="224"/>
        <v>0.91369908863534044</v>
      </c>
      <c r="CA156" s="6">
        <f t="shared" si="225"/>
        <v>91.36990886353405</v>
      </c>
      <c r="CB156">
        <f t="shared" si="226"/>
        <v>46</v>
      </c>
      <c r="CD156" s="581">
        <f t="shared" si="251"/>
        <v>-50</v>
      </c>
      <c r="CE156">
        <f t="shared" si="252"/>
        <v>-50</v>
      </c>
    </row>
    <row r="157" spans="5:83" x14ac:dyDescent="0.2">
      <c r="E157" s="176">
        <v>47</v>
      </c>
      <c r="F157" s="223">
        <f t="shared" si="253"/>
        <v>5.1699999999999996E-2</v>
      </c>
      <c r="G157" s="223">
        <f t="shared" si="234"/>
        <v>9.4E-2</v>
      </c>
      <c r="H157" s="223">
        <f t="shared" si="235"/>
        <v>1.2407999999999999</v>
      </c>
      <c r="I157" s="223">
        <f t="shared" si="236"/>
        <v>1.1280000000000001</v>
      </c>
      <c r="J157" s="559">
        <f t="shared" si="171"/>
        <v>10</v>
      </c>
      <c r="K157" s="454">
        <f t="shared" si="172"/>
        <v>24.25</v>
      </c>
      <c r="L157" s="454">
        <f t="shared" si="173"/>
        <v>34.25</v>
      </c>
      <c r="M157" s="454"/>
      <c r="N157" s="223">
        <f t="shared" si="174"/>
        <v>0.70802919708029199</v>
      </c>
      <c r="O157" s="178">
        <f t="shared" si="237"/>
        <v>2.5543839068474097</v>
      </c>
      <c r="P157" s="178">
        <f t="shared" si="238"/>
        <v>4.4332282680822832</v>
      </c>
      <c r="Q157" s="223">
        <f t="shared" si="177"/>
        <v>0.10643266278530873</v>
      </c>
      <c r="R157" s="223">
        <f t="shared" si="239"/>
        <v>0.21286532557061746</v>
      </c>
      <c r="S157" s="223">
        <f t="shared" si="240"/>
        <v>24</v>
      </c>
      <c r="T157" s="223">
        <f t="shared" si="241"/>
        <v>0.70434205100379821</v>
      </c>
      <c r="U157" s="223">
        <f t="shared" si="181"/>
        <v>3.3104076397178517</v>
      </c>
      <c r="V157" s="223">
        <f t="shared" si="182"/>
        <v>1.3651165524609696</v>
      </c>
      <c r="W157" s="203">
        <f t="shared" si="183"/>
        <v>350</v>
      </c>
      <c r="X157" s="454">
        <f t="shared" si="184"/>
        <v>213.87976169020615</v>
      </c>
      <c r="Z157" s="223">
        <f t="shared" si="185"/>
        <v>0.43041288576309544</v>
      </c>
      <c r="AA157" s="179">
        <f t="shared" si="186"/>
        <v>0.83420229405630864</v>
      </c>
      <c r="AB157" s="179">
        <f t="shared" si="242"/>
        <v>3.2913046530372254E-2</v>
      </c>
      <c r="AC157" s="179"/>
      <c r="AD157" s="179">
        <f t="shared" si="188"/>
        <v>0.56206185567010303</v>
      </c>
      <c r="AE157" s="563">
        <f t="shared" si="243"/>
        <v>634.36385255648042</v>
      </c>
      <c r="AF157" s="546">
        <f t="shared" si="244"/>
        <v>2.8524639175257726E-2</v>
      </c>
      <c r="AH157" s="179">
        <f t="shared" si="245"/>
        <v>0.53665631459994956</v>
      </c>
      <c r="AI157" s="179">
        <f t="shared" si="246"/>
        <v>0.70434205100379821</v>
      </c>
      <c r="AJ157" s="179">
        <f t="shared" si="247"/>
        <v>1.5069200377805911</v>
      </c>
      <c r="AL157" s="563">
        <f t="shared" si="248"/>
        <v>51.699999999999996</v>
      </c>
      <c r="AM157" s="472">
        <f t="shared" si="249"/>
        <v>213.87976169020615</v>
      </c>
      <c r="AO157">
        <f t="shared" si="196"/>
        <v>51.699999999999996</v>
      </c>
      <c r="AP157">
        <f t="shared" si="197"/>
        <v>213.87976169020615</v>
      </c>
      <c r="AR157" s="6">
        <f t="shared" si="233"/>
        <v>4.6755241921788215</v>
      </c>
      <c r="AS157" s="6">
        <f t="shared" si="230"/>
        <v>3.3104076397178517</v>
      </c>
      <c r="AT157" s="6">
        <f t="shared" si="231"/>
        <v>1.3651165524609699</v>
      </c>
      <c r="AU157" s="179">
        <f t="shared" si="232"/>
        <v>0.70802919708029199</v>
      </c>
      <c r="AW157" s="6">
        <f t="shared" si="201"/>
        <v>0.71311697905588711</v>
      </c>
      <c r="AX157" s="6">
        <f t="shared" si="202"/>
        <v>2.5931526511123173</v>
      </c>
      <c r="AY157" s="6">
        <f t="shared" si="203"/>
        <v>0.29716431899887208</v>
      </c>
      <c r="AZ157" s="6"/>
      <c r="BA157" s="179">
        <f t="shared" si="204"/>
        <v>0.34217523472248734</v>
      </c>
      <c r="BB157" s="179">
        <f t="shared" si="205"/>
        <v>0.21973169323826822</v>
      </c>
      <c r="BC157" s="179">
        <f t="shared" si="206"/>
        <v>0.39543551473306154</v>
      </c>
      <c r="BD157" s="179"/>
      <c r="BE157" s="546">
        <f t="shared" si="207"/>
        <v>4.0979361940086258E-2</v>
      </c>
      <c r="BF157" s="546">
        <f t="shared" si="208"/>
        <v>3.8696808510638288E-2</v>
      </c>
      <c r="BG157" s="546">
        <f t="shared" si="209"/>
        <v>2.6734970211275766E-3</v>
      </c>
      <c r="BH157" s="546">
        <f t="shared" si="210"/>
        <v>1.2544716397385872E-2</v>
      </c>
      <c r="BI157">
        <f t="shared" si="211"/>
        <v>2.8999999999999998E-3</v>
      </c>
      <c r="BK157" s="472">
        <f t="shared" si="212"/>
        <v>97.794383869238004</v>
      </c>
      <c r="BL157" s="179">
        <f t="shared" si="213"/>
        <v>1.5509999999999998E-2</v>
      </c>
      <c r="BM157" s="179">
        <f t="shared" si="214"/>
        <v>2.8199999999999999E-2</v>
      </c>
      <c r="BN157" s="546"/>
      <c r="BP157" s="472">
        <f t="shared" si="215"/>
        <v>43.71</v>
      </c>
      <c r="BQ157" s="546">
        <f t="shared" si="216"/>
        <v>2.3416778251477866E-2</v>
      </c>
      <c r="BR157" s="546">
        <f t="shared" si="217"/>
        <v>9.6564034026712809E-3</v>
      </c>
      <c r="BS157" s="546">
        <f t="shared" si="218"/>
        <v>1.5636924631220135E-2</v>
      </c>
      <c r="BT157" s="546">
        <f t="shared" si="219"/>
        <v>1.3926862161630825E-2</v>
      </c>
      <c r="BU157" s="546"/>
      <c r="BV157" s="656">
        <f t="shared" si="250"/>
        <v>1.9629473684210526E-2</v>
      </c>
      <c r="BW157" s="472">
        <f t="shared" si="221"/>
        <v>82.266442131210638</v>
      </c>
      <c r="BX157" s="179">
        <f t="shared" si="222"/>
        <v>0.22377082600044865</v>
      </c>
      <c r="BY157" s="6">
        <f t="shared" si="223"/>
        <v>2.3688000000000002</v>
      </c>
      <c r="BZ157" s="179">
        <f t="shared" si="224"/>
        <v>0.91368767103436899</v>
      </c>
      <c r="CA157" s="6">
        <f t="shared" si="225"/>
        <v>91.368767103436895</v>
      </c>
      <c r="CB157">
        <f t="shared" si="226"/>
        <v>47</v>
      </c>
      <c r="CD157" s="581">
        <f t="shared" si="251"/>
        <v>-50</v>
      </c>
      <c r="CE157">
        <f t="shared" si="252"/>
        <v>-50</v>
      </c>
    </row>
    <row r="158" spans="5:83" x14ac:dyDescent="0.2">
      <c r="E158" s="176">
        <v>48</v>
      </c>
      <c r="F158" s="223">
        <f t="shared" si="253"/>
        <v>5.28E-2</v>
      </c>
      <c r="G158" s="223">
        <f t="shared" si="234"/>
        <v>9.6000000000000002E-2</v>
      </c>
      <c r="H158" s="223">
        <f t="shared" si="235"/>
        <v>1.2671999999999999</v>
      </c>
      <c r="I158" s="223">
        <f t="shared" si="236"/>
        <v>1.1520000000000001</v>
      </c>
      <c r="J158" s="559">
        <f t="shared" si="171"/>
        <v>10</v>
      </c>
      <c r="K158" s="454">
        <f t="shared" si="172"/>
        <v>24.25</v>
      </c>
      <c r="L158" s="454">
        <f t="shared" si="173"/>
        <v>34.25</v>
      </c>
      <c r="M158" s="454"/>
      <c r="N158" s="223">
        <f t="shared" si="174"/>
        <v>0.70802919708029199</v>
      </c>
      <c r="O158" s="178">
        <f t="shared" si="237"/>
        <v>2.5543839068474097</v>
      </c>
      <c r="P158" s="178">
        <f t="shared" si="238"/>
        <v>4.4332282680822832</v>
      </c>
      <c r="Q158" s="223">
        <f t="shared" si="177"/>
        <v>0.10643266278530873</v>
      </c>
      <c r="R158" s="223">
        <f t="shared" si="239"/>
        <v>0.21286532557061746</v>
      </c>
      <c r="S158" s="223">
        <f t="shared" si="240"/>
        <v>24</v>
      </c>
      <c r="T158" s="223">
        <f t="shared" si="241"/>
        <v>0.71932805208898531</v>
      </c>
      <c r="U158" s="223">
        <f t="shared" si="181"/>
        <v>3.3808418448182307</v>
      </c>
      <c r="V158" s="223">
        <f t="shared" si="182"/>
        <v>1.3941615854920539</v>
      </c>
      <c r="W158" s="203">
        <f t="shared" si="183"/>
        <v>350</v>
      </c>
      <c r="X158" s="454">
        <f t="shared" si="184"/>
        <v>209.42393332166023</v>
      </c>
      <c r="Z158" s="223">
        <f t="shared" si="185"/>
        <v>0.43041288576309544</v>
      </c>
      <c r="AA158" s="179">
        <f t="shared" si="186"/>
        <v>0.83420229405630864</v>
      </c>
      <c r="AB158" s="179">
        <f t="shared" si="242"/>
        <v>3.2913046530372254E-2</v>
      </c>
      <c r="AC158" s="179"/>
      <c r="AD158" s="179">
        <f t="shared" si="188"/>
        <v>0.56206185567010303</v>
      </c>
      <c r="AE158" s="563">
        <f t="shared" si="243"/>
        <v>647.86095580236315</v>
      </c>
      <c r="AF158" s="546">
        <f t="shared" si="244"/>
        <v>2.8524639175257726E-2</v>
      </c>
      <c r="AH158" s="179">
        <f t="shared" si="245"/>
        <v>0.54233537555139077</v>
      </c>
      <c r="AI158" s="179">
        <f t="shared" si="246"/>
        <v>0.71932805208898531</v>
      </c>
      <c r="AJ158" s="179">
        <f t="shared" si="247"/>
        <v>1.5180207793251743</v>
      </c>
      <c r="AL158" s="563">
        <f t="shared" si="248"/>
        <v>52.8</v>
      </c>
      <c r="AM158" s="472">
        <f t="shared" si="249"/>
        <v>209.42393332166023</v>
      </c>
      <c r="AO158">
        <f t="shared" si="196"/>
        <v>52.8</v>
      </c>
      <c r="AP158">
        <f t="shared" si="197"/>
        <v>209.42393332166023</v>
      </c>
      <c r="AR158" s="6">
        <f t="shared" si="233"/>
        <v>4.7750034303102851</v>
      </c>
      <c r="AS158" s="6">
        <f t="shared" si="230"/>
        <v>3.3808418448182307</v>
      </c>
      <c r="AT158" s="6">
        <f t="shared" si="231"/>
        <v>1.3941615854920544</v>
      </c>
      <c r="AU158" s="179">
        <f t="shared" si="232"/>
        <v>0.70802919708029188</v>
      </c>
      <c r="AW158" s="6">
        <f t="shared" si="201"/>
        <v>0.74378520586001085</v>
      </c>
      <c r="AX158" s="6">
        <f t="shared" si="202"/>
        <v>2.7046734758545843</v>
      </c>
      <c r="AY158" s="6">
        <f t="shared" si="203"/>
        <v>0.30994413353254935</v>
      </c>
      <c r="AZ158" s="6"/>
      <c r="BA158" s="179">
        <f t="shared" si="204"/>
        <v>0.34945555886551888</v>
      </c>
      <c r="BB158" s="179">
        <f t="shared" si="205"/>
        <v>0.22440683564759306</v>
      </c>
      <c r="BC158" s="179">
        <f t="shared" si="206"/>
        <v>0.40384903632312669</v>
      </c>
      <c r="BD158" s="179"/>
      <c r="BE158" s="546">
        <f t="shared" si="207"/>
        <v>4.2741715667704239E-2</v>
      </c>
      <c r="BF158" s="546">
        <f t="shared" si="208"/>
        <v>3.8696808510638295E-2</v>
      </c>
      <c r="BG158" s="546">
        <f t="shared" si="209"/>
        <v>2.6177991665207526E-3</v>
      </c>
      <c r="BH158" s="546">
        <f t="shared" si="210"/>
        <v>1.2283368139107001E-2</v>
      </c>
      <c r="BI158">
        <f t="shared" si="211"/>
        <v>2.8999999999999998E-3</v>
      </c>
      <c r="BK158" s="472">
        <f t="shared" si="212"/>
        <v>99.239691483970304</v>
      </c>
      <c r="BL158" s="179">
        <f t="shared" si="213"/>
        <v>1.584E-2</v>
      </c>
      <c r="BM158" s="179">
        <f t="shared" si="214"/>
        <v>2.8799999999999999E-2</v>
      </c>
      <c r="BN158" s="546"/>
      <c r="BP158" s="472">
        <f t="shared" si="215"/>
        <v>44.64</v>
      </c>
      <c r="BQ158" s="546">
        <f t="shared" si="216"/>
        <v>2.4423837524402428E-2</v>
      </c>
      <c r="BR158" s="546">
        <f t="shared" si="217"/>
        <v>1.0071685577073171E-2</v>
      </c>
      <c r="BS158" s="546">
        <f t="shared" si="218"/>
        <v>1.6309404413911811E-2</v>
      </c>
      <c r="BT158" s="546">
        <f t="shared" si="219"/>
        <v>1.3926862161630839E-2</v>
      </c>
      <c r="BU158" s="546"/>
      <c r="BV158" s="656">
        <f t="shared" si="250"/>
        <v>2.0047122060470324E-2</v>
      </c>
      <c r="BW158" s="472">
        <f t="shared" si="221"/>
        <v>84.778911737488585</v>
      </c>
      <c r="BX158" s="179">
        <f t="shared" si="222"/>
        <v>0.22865860322145884</v>
      </c>
      <c r="BY158" s="6">
        <f t="shared" si="223"/>
        <v>2.4192</v>
      </c>
      <c r="BZ158" s="179">
        <f t="shared" si="224"/>
        <v>0.91364395253460051</v>
      </c>
      <c r="CA158" s="6">
        <f t="shared" si="225"/>
        <v>91.364395253460046</v>
      </c>
      <c r="CB158">
        <f t="shared" si="226"/>
        <v>48</v>
      </c>
      <c r="CD158" s="581">
        <f t="shared" si="251"/>
        <v>-50</v>
      </c>
      <c r="CE158">
        <f t="shared" si="252"/>
        <v>-50</v>
      </c>
    </row>
    <row r="159" spans="5:83" x14ac:dyDescent="0.2">
      <c r="E159" s="176">
        <v>49</v>
      </c>
      <c r="F159" s="223">
        <f t="shared" si="253"/>
        <v>5.3899999999999997E-2</v>
      </c>
      <c r="G159" s="223">
        <f t="shared" si="234"/>
        <v>9.8000000000000004E-2</v>
      </c>
      <c r="H159" s="223">
        <f t="shared" si="235"/>
        <v>1.2935999999999999</v>
      </c>
      <c r="I159" s="223">
        <f t="shared" si="236"/>
        <v>1.1760000000000002</v>
      </c>
      <c r="J159" s="559">
        <f t="shared" si="171"/>
        <v>10</v>
      </c>
      <c r="K159" s="454">
        <f t="shared" si="172"/>
        <v>24.25</v>
      </c>
      <c r="L159" s="454">
        <f t="shared" si="173"/>
        <v>34.25</v>
      </c>
      <c r="M159" s="454"/>
      <c r="N159" s="223">
        <f t="shared" si="174"/>
        <v>0.70802919708029199</v>
      </c>
      <c r="O159" s="178">
        <f t="shared" si="237"/>
        <v>2.5543839068474097</v>
      </c>
      <c r="P159" s="178">
        <f t="shared" si="238"/>
        <v>4.4332282680822832</v>
      </c>
      <c r="Q159" s="223">
        <f t="shared" si="177"/>
        <v>0.10643266278530873</v>
      </c>
      <c r="R159" s="223">
        <f t="shared" si="239"/>
        <v>0.21286532557061746</v>
      </c>
      <c r="S159" s="223">
        <f t="shared" si="240"/>
        <v>24</v>
      </c>
      <c r="T159" s="223">
        <f t="shared" si="241"/>
        <v>0.73431405317417242</v>
      </c>
      <c r="U159" s="223">
        <f t="shared" si="181"/>
        <v>3.4512760499186101</v>
      </c>
      <c r="V159" s="223">
        <f t="shared" si="182"/>
        <v>1.4232066185231385</v>
      </c>
      <c r="W159" s="203">
        <f t="shared" si="183"/>
        <v>350</v>
      </c>
      <c r="X159" s="454">
        <f t="shared" si="184"/>
        <v>205.14997549876924</v>
      </c>
      <c r="Z159" s="223">
        <f t="shared" si="185"/>
        <v>0.43041288576309544</v>
      </c>
      <c r="AA159" s="179">
        <f t="shared" si="186"/>
        <v>0.83420229405630864</v>
      </c>
      <c r="AB159" s="179">
        <f t="shared" si="242"/>
        <v>3.2913046530372254E-2</v>
      </c>
      <c r="AC159" s="179"/>
      <c r="AD159" s="179">
        <f t="shared" si="188"/>
        <v>0.56206185567010303</v>
      </c>
      <c r="AE159" s="563">
        <f t="shared" si="243"/>
        <v>661.35805904824554</v>
      </c>
      <c r="AF159" s="546">
        <f t="shared" si="244"/>
        <v>2.8524639175257726E-2</v>
      </c>
      <c r="AH159" s="179">
        <f t="shared" si="245"/>
        <v>0.54795558136489142</v>
      </c>
      <c r="AI159" s="179">
        <f t="shared" si="246"/>
        <v>0.73431405317417242</v>
      </c>
      <c r="AJ159" s="179">
        <f t="shared" si="247"/>
        <v>1.5291215208697573</v>
      </c>
      <c r="AL159" s="563">
        <f t="shared" si="248"/>
        <v>53.9</v>
      </c>
      <c r="AM159" s="472">
        <f t="shared" si="249"/>
        <v>205.14997549876924</v>
      </c>
      <c r="AO159">
        <f t="shared" si="196"/>
        <v>53.9</v>
      </c>
      <c r="AP159">
        <f t="shared" si="197"/>
        <v>205.14997549876924</v>
      </c>
      <c r="AR159" s="6">
        <f t="shared" si="233"/>
        <v>4.8744826684417486</v>
      </c>
      <c r="AS159" s="6">
        <f t="shared" si="230"/>
        <v>3.4512760499186101</v>
      </c>
      <c r="AT159" s="6">
        <f t="shared" si="231"/>
        <v>1.4232066185231385</v>
      </c>
      <c r="AU159" s="179">
        <f t="shared" si="232"/>
        <v>0.70802919708029188</v>
      </c>
      <c r="AW159" s="6">
        <f t="shared" si="201"/>
        <v>0.77509907954422119</v>
      </c>
      <c r="AX159" s="6">
        <f t="shared" si="202"/>
        <v>2.8185421074335322</v>
      </c>
      <c r="AY159" s="6">
        <f t="shared" si="203"/>
        <v>0.32299299679325111</v>
      </c>
      <c r="AZ159" s="6"/>
      <c r="BA159" s="179">
        <f t="shared" si="204"/>
        <v>0.35673588300855047</v>
      </c>
      <c r="BB159" s="179">
        <f t="shared" si="205"/>
        <v>0.22908197805691791</v>
      </c>
      <c r="BC159" s="179">
        <f t="shared" si="206"/>
        <v>0.41226255791319177</v>
      </c>
      <c r="BD159" s="179"/>
      <c r="BE159" s="546">
        <f t="shared" si="207"/>
        <v>4.4541171579061567E-2</v>
      </c>
      <c r="BF159" s="546">
        <f t="shared" si="208"/>
        <v>3.8696808510638295E-2</v>
      </c>
      <c r="BG159" s="546">
        <f t="shared" si="209"/>
        <v>2.5643746937346157E-3</v>
      </c>
      <c r="BH159" s="546">
        <f t="shared" si="210"/>
        <v>1.2032687156676249E-2</v>
      </c>
      <c r="BI159">
        <f t="shared" si="211"/>
        <v>2.8999999999999998E-3</v>
      </c>
      <c r="BK159" s="472">
        <f t="shared" si="212"/>
        <v>100.73504194011072</v>
      </c>
      <c r="BL159" s="179">
        <f t="shared" si="213"/>
        <v>1.6169999999999997E-2</v>
      </c>
      <c r="BM159" s="179">
        <f t="shared" si="214"/>
        <v>2.9399999999999999E-2</v>
      </c>
      <c r="BN159" s="546"/>
      <c r="BP159" s="472">
        <f t="shared" si="215"/>
        <v>45.57</v>
      </c>
      <c r="BQ159" s="546">
        <f t="shared" si="216"/>
        <v>2.5452098045178041E-2</v>
      </c>
      <c r="BR159" s="546">
        <f t="shared" si="217"/>
        <v>1.0495710534094045E-2</v>
      </c>
      <c r="BS159" s="546">
        <f t="shared" si="218"/>
        <v>1.699604166571278E-2</v>
      </c>
      <c r="BT159" s="546">
        <f t="shared" si="219"/>
        <v>1.3926862161630834E-2</v>
      </c>
      <c r="BU159" s="546"/>
      <c r="BV159" s="656">
        <f t="shared" si="250"/>
        <v>2.0464770436730121E-2</v>
      </c>
      <c r="BW159" s="472">
        <f t="shared" si="221"/>
        <v>87.335482843345815</v>
      </c>
      <c r="BX159" s="179">
        <f t="shared" si="222"/>
        <v>0.23364052478345654</v>
      </c>
      <c r="BY159" s="6">
        <f t="shared" si="223"/>
        <v>2.4695999999999998</v>
      </c>
      <c r="BZ159" s="179">
        <f t="shared" si="224"/>
        <v>0.9135702048554587</v>
      </c>
      <c r="CA159" s="6">
        <f t="shared" si="225"/>
        <v>91.357020485545874</v>
      </c>
      <c r="CB159">
        <f t="shared" si="226"/>
        <v>49</v>
      </c>
      <c r="CD159" s="581">
        <f t="shared" si="251"/>
        <v>-50</v>
      </c>
      <c r="CE159">
        <f t="shared" si="252"/>
        <v>-50</v>
      </c>
    </row>
    <row r="160" spans="5:83" x14ac:dyDescent="0.2">
      <c r="E160" s="176">
        <v>50</v>
      </c>
      <c r="F160" s="223">
        <f t="shared" si="253"/>
        <v>5.5E-2</v>
      </c>
      <c r="G160" s="223">
        <f t="shared" si="234"/>
        <v>0.1</v>
      </c>
      <c r="H160" s="223">
        <f t="shared" si="235"/>
        <v>1.32</v>
      </c>
      <c r="I160" s="223">
        <f t="shared" si="236"/>
        <v>1.2000000000000002</v>
      </c>
      <c r="J160" s="559">
        <f t="shared" si="171"/>
        <v>10</v>
      </c>
      <c r="K160" s="454">
        <f t="shared" si="172"/>
        <v>24.25</v>
      </c>
      <c r="L160" s="454">
        <f t="shared" si="173"/>
        <v>34.25</v>
      </c>
      <c r="M160" s="454"/>
      <c r="N160" s="223">
        <f t="shared" si="174"/>
        <v>0.70802919708029199</v>
      </c>
      <c r="O160" s="178">
        <f t="shared" si="237"/>
        <v>2.5543839068474097</v>
      </c>
      <c r="P160" s="178">
        <f t="shared" si="238"/>
        <v>4.4332282680822832</v>
      </c>
      <c r="Q160" s="223">
        <f t="shared" si="177"/>
        <v>0.10643266278530873</v>
      </c>
      <c r="R160" s="223">
        <f t="shared" si="239"/>
        <v>0.21286532557061746</v>
      </c>
      <c r="S160" s="223">
        <f t="shared" si="240"/>
        <v>24</v>
      </c>
      <c r="T160" s="223">
        <f t="shared" si="241"/>
        <v>0.74930005425935986</v>
      </c>
      <c r="U160" s="223">
        <f t="shared" si="181"/>
        <v>3.5217102550189909</v>
      </c>
      <c r="V160" s="223">
        <f t="shared" si="182"/>
        <v>1.452251651554223</v>
      </c>
      <c r="W160" s="203">
        <f t="shared" si="183"/>
        <v>350</v>
      </c>
      <c r="X160" s="454">
        <f t="shared" si="184"/>
        <v>201.0469759887938</v>
      </c>
      <c r="Z160" s="223">
        <f t="shared" si="185"/>
        <v>0.43041288576309544</v>
      </c>
      <c r="AA160" s="179">
        <f t="shared" si="186"/>
        <v>0.83420229405630864</v>
      </c>
      <c r="AB160" s="179">
        <f t="shared" si="242"/>
        <v>3.2913046530372254E-2</v>
      </c>
      <c r="AC160" s="179"/>
      <c r="AD160" s="179">
        <f t="shared" si="188"/>
        <v>0.56206185567010303</v>
      </c>
      <c r="AE160" s="563">
        <f t="shared" si="243"/>
        <v>674.85516229412826</v>
      </c>
      <c r="AF160" s="546">
        <f t="shared" si="244"/>
        <v>2.8524639175257726E-2</v>
      </c>
      <c r="AH160" s="179">
        <f t="shared" si="245"/>
        <v>0.55351872481733111</v>
      </c>
      <c r="AI160" s="179">
        <f t="shared" si="246"/>
        <v>0.74930005425935986</v>
      </c>
      <c r="AJ160" s="179">
        <f t="shared" si="247"/>
        <v>1.5402222624143407</v>
      </c>
      <c r="AL160" s="563">
        <f t="shared" si="248"/>
        <v>55</v>
      </c>
      <c r="AM160" s="472">
        <f t="shared" si="249"/>
        <v>201.0469759887938</v>
      </c>
      <c r="AO160">
        <f t="shared" si="196"/>
        <v>55</v>
      </c>
      <c r="AP160">
        <f t="shared" si="197"/>
        <v>201.0469759887938</v>
      </c>
      <c r="AR160" s="6">
        <f t="shared" si="233"/>
        <v>4.9739619065732139</v>
      </c>
      <c r="AS160" s="6">
        <f t="shared" si="230"/>
        <v>3.5217102550189909</v>
      </c>
      <c r="AT160" s="6">
        <f t="shared" si="231"/>
        <v>1.452251651554223</v>
      </c>
      <c r="AU160" s="179">
        <f t="shared" si="232"/>
        <v>0.70802919708029199</v>
      </c>
      <c r="AW160" s="6">
        <f t="shared" si="201"/>
        <v>0.80705860010851882</v>
      </c>
      <c r="AX160" s="6">
        <f t="shared" si="202"/>
        <v>2.9347585458491592</v>
      </c>
      <c r="AY160" s="6">
        <f t="shared" si="203"/>
        <v>0.33631090878097797</v>
      </c>
      <c r="AZ160" s="6"/>
      <c r="BA160" s="179">
        <f t="shared" si="204"/>
        <v>0.36401620715158228</v>
      </c>
      <c r="BB160" s="179">
        <f t="shared" si="205"/>
        <v>0.23375712046624281</v>
      </c>
      <c r="BC160" s="179">
        <f t="shared" si="206"/>
        <v>0.42067607950325703</v>
      </c>
      <c r="BD160" s="179"/>
      <c r="BE160" s="546">
        <f t="shared" si="207"/>
        <v>4.6377729674158277E-2</v>
      </c>
      <c r="BF160" s="546">
        <f t="shared" si="208"/>
        <v>3.8696808510638295E-2</v>
      </c>
      <c r="BG160" s="546">
        <f t="shared" si="209"/>
        <v>2.5130871998599227E-3</v>
      </c>
      <c r="BH160" s="546">
        <f t="shared" si="210"/>
        <v>1.1792033413542721E-2</v>
      </c>
      <c r="BI160">
        <f t="shared" si="211"/>
        <v>2.8999999999999998E-3</v>
      </c>
      <c r="BK160" s="472">
        <f t="shared" si="212"/>
        <v>102.27965879819921</v>
      </c>
      <c r="BL160" s="179">
        <f t="shared" si="213"/>
        <v>1.6500000000000001E-2</v>
      </c>
      <c r="BM160" s="179">
        <f t="shared" si="214"/>
        <v>0.03</v>
      </c>
      <c r="BN160" s="546"/>
      <c r="BP160" s="472">
        <f t="shared" si="215"/>
        <v>46.5</v>
      </c>
      <c r="BQ160" s="546">
        <f t="shared" si="216"/>
        <v>2.6501559813804733E-2</v>
      </c>
      <c r="BR160" s="546">
        <f t="shared" si="217"/>
        <v>1.0928478273733911E-2</v>
      </c>
      <c r="BS160" s="546">
        <f t="shared" si="218"/>
        <v>1.7696836386623064E-2</v>
      </c>
      <c r="BT160" s="546">
        <f t="shared" si="219"/>
        <v>1.3926862161630842E-2</v>
      </c>
      <c r="BU160" s="546"/>
      <c r="BV160" s="656">
        <f t="shared" si="250"/>
        <v>2.0882418812989925E-2</v>
      </c>
      <c r="BW160" s="472">
        <f t="shared" si="221"/>
        <v>89.936155448782472</v>
      </c>
      <c r="BX160" s="179">
        <f t="shared" si="222"/>
        <v>0.23871581424698168</v>
      </c>
      <c r="BY160" s="6">
        <f t="shared" si="223"/>
        <v>2.5200000000000005</v>
      </c>
      <c r="BZ160" s="179">
        <f t="shared" si="224"/>
        <v>0.91346850117211453</v>
      </c>
      <c r="CA160" s="6">
        <f t="shared" si="225"/>
        <v>91.34685011721146</v>
      </c>
      <c r="CB160">
        <f t="shared" si="226"/>
        <v>50</v>
      </c>
      <c r="CD160" s="581">
        <f t="shared" si="251"/>
        <v>-50</v>
      </c>
      <c r="CE160">
        <f t="shared" si="252"/>
        <v>-50</v>
      </c>
    </row>
    <row r="161" spans="5:83" x14ac:dyDescent="0.2">
      <c r="E161" s="176">
        <v>51</v>
      </c>
      <c r="F161" s="223">
        <f t="shared" si="253"/>
        <v>5.6100000000000004E-2</v>
      </c>
      <c r="G161" s="223">
        <f t="shared" si="234"/>
        <v>0.10200000000000001</v>
      </c>
      <c r="H161" s="223">
        <f t="shared" si="235"/>
        <v>1.3464</v>
      </c>
      <c r="I161" s="223">
        <f t="shared" si="236"/>
        <v>1.2240000000000002</v>
      </c>
      <c r="J161" s="559">
        <f t="shared" si="171"/>
        <v>10</v>
      </c>
      <c r="K161" s="454">
        <f t="shared" si="172"/>
        <v>24.25</v>
      </c>
      <c r="L161" s="454">
        <f t="shared" si="173"/>
        <v>34.25</v>
      </c>
      <c r="M161" s="454"/>
      <c r="N161" s="223">
        <f t="shared" si="174"/>
        <v>0.70802919708029199</v>
      </c>
      <c r="O161" s="178">
        <f t="shared" si="237"/>
        <v>2.5543839068474097</v>
      </c>
      <c r="P161" s="178">
        <f t="shared" si="238"/>
        <v>4.4332282680822832</v>
      </c>
      <c r="Q161" s="223">
        <f t="shared" si="177"/>
        <v>0.10643266278530873</v>
      </c>
      <c r="R161" s="223">
        <f t="shared" si="239"/>
        <v>0.21286532557061746</v>
      </c>
      <c r="S161" s="223">
        <f t="shared" si="240"/>
        <v>24</v>
      </c>
      <c r="T161" s="223">
        <f t="shared" si="241"/>
        <v>0.76428605534454697</v>
      </c>
      <c r="U161" s="223">
        <f t="shared" si="181"/>
        <v>3.5921444601193708</v>
      </c>
      <c r="V161" s="223">
        <f t="shared" si="182"/>
        <v>1.4812966845853075</v>
      </c>
      <c r="W161" s="203">
        <f t="shared" si="183"/>
        <v>350</v>
      </c>
      <c r="X161" s="454">
        <f t="shared" si="184"/>
        <v>197.10487842038606</v>
      </c>
      <c r="Z161" s="223">
        <f t="shared" si="185"/>
        <v>0.43041288576309544</v>
      </c>
      <c r="AA161" s="179">
        <f t="shared" si="186"/>
        <v>0.83420229405630864</v>
      </c>
      <c r="AB161" s="179">
        <f t="shared" si="242"/>
        <v>3.2913046530372254E-2</v>
      </c>
      <c r="AC161" s="179"/>
      <c r="AD161" s="179">
        <f t="shared" si="188"/>
        <v>0.56206185567010303</v>
      </c>
      <c r="AE161" s="563">
        <f t="shared" si="243"/>
        <v>688.35226554001076</v>
      </c>
      <c r="AF161" s="546">
        <f t="shared" si="244"/>
        <v>2.8524639175257726E-2</v>
      </c>
      <c r="AH161" s="179">
        <f t="shared" si="245"/>
        <v>0.55902650947685151</v>
      </c>
      <c r="AI161" s="179">
        <f t="shared" si="246"/>
        <v>0.76428605534454697</v>
      </c>
      <c r="AJ161" s="179">
        <f t="shared" si="247"/>
        <v>1.5513230039589236</v>
      </c>
      <c r="AL161" s="563">
        <f t="shared" si="248"/>
        <v>56.1</v>
      </c>
      <c r="AM161" s="472">
        <f t="shared" si="249"/>
        <v>197.10487842038606</v>
      </c>
      <c r="AO161">
        <f t="shared" si="196"/>
        <v>56.1</v>
      </c>
      <c r="AP161">
        <f t="shared" si="197"/>
        <v>197.10487842038606</v>
      </c>
      <c r="AR161" s="6">
        <f t="shared" si="233"/>
        <v>5.0734411447046783</v>
      </c>
      <c r="AS161" s="6">
        <f t="shared" si="230"/>
        <v>3.5921444601193708</v>
      </c>
      <c r="AT161" s="6">
        <f t="shared" si="231"/>
        <v>1.4812966845853075</v>
      </c>
      <c r="AU161" s="179">
        <f t="shared" si="232"/>
        <v>0.70802919708029199</v>
      </c>
      <c r="AW161" s="6">
        <f t="shared" si="201"/>
        <v>0.83966376755290295</v>
      </c>
      <c r="AX161" s="6">
        <f t="shared" si="202"/>
        <v>3.0533227911014653</v>
      </c>
      <c r="AY161" s="6">
        <f t="shared" si="203"/>
        <v>0.34989786949572949</v>
      </c>
      <c r="AZ161" s="6"/>
      <c r="BA161" s="179">
        <f t="shared" si="204"/>
        <v>0.37129653129461387</v>
      </c>
      <c r="BB161" s="179">
        <f t="shared" si="205"/>
        <v>0.23843226287556762</v>
      </c>
      <c r="BC161" s="179">
        <f t="shared" si="206"/>
        <v>0.42908960109332211</v>
      </c>
      <c r="BD161" s="179"/>
      <c r="BE161" s="546">
        <f t="shared" si="207"/>
        <v>4.8251389952994259E-2</v>
      </c>
      <c r="BF161" s="546">
        <f t="shared" si="208"/>
        <v>3.8696808510638288E-2</v>
      </c>
      <c r="BG161" s="546">
        <f t="shared" si="209"/>
        <v>2.4638109802548255E-3</v>
      </c>
      <c r="BH161" s="546">
        <f t="shared" si="210"/>
        <v>1.1560817072100707E-2</v>
      </c>
      <c r="BI161">
        <f t="shared" si="211"/>
        <v>2.8999999999999998E-3</v>
      </c>
      <c r="BK161" s="472">
        <f t="shared" si="212"/>
        <v>103.87282651598808</v>
      </c>
      <c r="BL161" s="179">
        <f t="shared" si="213"/>
        <v>1.6830000000000001E-2</v>
      </c>
      <c r="BM161" s="179">
        <f t="shared" si="214"/>
        <v>3.0600000000000002E-2</v>
      </c>
      <c r="BN161" s="546"/>
      <c r="BP161" s="472">
        <f t="shared" si="215"/>
        <v>47.43</v>
      </c>
      <c r="BQ161" s="546">
        <f t="shared" si="216"/>
        <v>2.7572222830282433E-2</v>
      </c>
      <c r="BR161" s="546">
        <f t="shared" si="217"/>
        <v>1.1369988795992757E-2</v>
      </c>
      <c r="BS161" s="546">
        <f t="shared" si="218"/>
        <v>1.8411788576642631E-2</v>
      </c>
      <c r="BT161" s="546">
        <f t="shared" si="219"/>
        <v>1.3926862161630837E-2</v>
      </c>
      <c r="BU161" s="546"/>
      <c r="BV161" s="656">
        <f t="shared" si="250"/>
        <v>2.1300067189249719E-2</v>
      </c>
      <c r="BW161" s="472">
        <f t="shared" si="221"/>
        <v>92.58092955379837</v>
      </c>
      <c r="BX161" s="179">
        <f t="shared" si="222"/>
        <v>0.24388375606978646</v>
      </c>
      <c r="BY161" s="6">
        <f t="shared" si="223"/>
        <v>2.5704000000000002</v>
      </c>
      <c r="BZ161" s="179">
        <f t="shared" si="224"/>
        <v>0.91334073703698737</v>
      </c>
      <c r="CA161" s="6">
        <f t="shared" si="225"/>
        <v>91.334073703698735</v>
      </c>
      <c r="CB161">
        <f t="shared" si="226"/>
        <v>51</v>
      </c>
      <c r="CD161" s="581">
        <f t="shared" si="251"/>
        <v>-50</v>
      </c>
      <c r="CE161">
        <f t="shared" si="252"/>
        <v>-50</v>
      </c>
    </row>
    <row r="162" spans="5:83" x14ac:dyDescent="0.2">
      <c r="E162" s="176">
        <v>52</v>
      </c>
      <c r="F162" s="223">
        <f t="shared" si="253"/>
        <v>5.7200000000000001E-2</v>
      </c>
      <c r="G162" s="223">
        <f t="shared" si="234"/>
        <v>0.10400000000000001</v>
      </c>
      <c r="H162" s="223">
        <f t="shared" si="235"/>
        <v>1.3728</v>
      </c>
      <c r="I162" s="223">
        <f t="shared" si="236"/>
        <v>1.2480000000000002</v>
      </c>
      <c r="J162" s="559">
        <f t="shared" si="171"/>
        <v>10</v>
      </c>
      <c r="K162" s="454">
        <f t="shared" si="172"/>
        <v>24.25</v>
      </c>
      <c r="L162" s="454">
        <f t="shared" si="173"/>
        <v>34.25</v>
      </c>
      <c r="M162" s="454"/>
      <c r="N162" s="223">
        <f t="shared" si="174"/>
        <v>0.70802919708029199</v>
      </c>
      <c r="O162" s="178">
        <f t="shared" si="237"/>
        <v>2.5543839068474097</v>
      </c>
      <c r="P162" s="178">
        <f t="shared" si="238"/>
        <v>4.4332282680822832</v>
      </c>
      <c r="Q162" s="223">
        <f t="shared" si="177"/>
        <v>0.10643266278530873</v>
      </c>
      <c r="R162" s="223">
        <f t="shared" si="239"/>
        <v>0.21286532557061746</v>
      </c>
      <c r="S162" s="223">
        <f t="shared" si="240"/>
        <v>24</v>
      </c>
      <c r="T162" s="223">
        <f t="shared" si="241"/>
        <v>0.77927205642973407</v>
      </c>
      <c r="U162" s="223">
        <f t="shared" si="181"/>
        <v>3.6625786652197498</v>
      </c>
      <c r="V162" s="223">
        <f t="shared" si="182"/>
        <v>1.5103417176163918</v>
      </c>
      <c r="W162" s="203">
        <f t="shared" si="183"/>
        <v>350</v>
      </c>
      <c r="X162" s="454">
        <f t="shared" si="184"/>
        <v>193.31439998922485</v>
      </c>
      <c r="Z162" s="223">
        <f t="shared" si="185"/>
        <v>0.43041288576309544</v>
      </c>
      <c r="AA162" s="179">
        <f t="shared" si="186"/>
        <v>0.83420229405630864</v>
      </c>
      <c r="AB162" s="179">
        <f t="shared" si="242"/>
        <v>3.2913046530372254E-2</v>
      </c>
      <c r="AC162" s="179"/>
      <c r="AD162" s="179">
        <f t="shared" si="188"/>
        <v>0.56206185567010303</v>
      </c>
      <c r="AE162" s="563">
        <f t="shared" si="243"/>
        <v>701.84936878589326</v>
      </c>
      <c r="AF162" s="546">
        <f t="shared" si="244"/>
        <v>2.8524639175257726E-2</v>
      </c>
      <c r="AH162" s="179">
        <f t="shared" si="245"/>
        <v>0.56448055579651324</v>
      </c>
      <c r="AI162" s="179">
        <f t="shared" si="246"/>
        <v>0.77927205642973407</v>
      </c>
      <c r="AJ162" s="179">
        <f t="shared" si="247"/>
        <v>1.5624237455035068</v>
      </c>
      <c r="AL162" s="563">
        <f t="shared" si="248"/>
        <v>57.2</v>
      </c>
      <c r="AM162" s="472">
        <f t="shared" si="249"/>
        <v>193.31439998922485</v>
      </c>
      <c r="AO162">
        <f t="shared" si="196"/>
        <v>57.2</v>
      </c>
      <c r="AP162">
        <f t="shared" si="197"/>
        <v>193.31439998922485</v>
      </c>
      <c r="AR162" s="6">
        <f t="shared" si="233"/>
        <v>5.172920382836141</v>
      </c>
      <c r="AS162" s="6">
        <f t="shared" si="230"/>
        <v>3.6625786652197498</v>
      </c>
      <c r="AT162" s="6">
        <f t="shared" si="231"/>
        <v>1.5103417176163911</v>
      </c>
      <c r="AU162" s="179">
        <f t="shared" si="232"/>
        <v>0.70802919708029199</v>
      </c>
      <c r="AW162" s="6">
        <f t="shared" si="201"/>
        <v>0.8729145818773737</v>
      </c>
      <c r="AX162" s="6">
        <f t="shared" si="202"/>
        <v>3.1742348431904506</v>
      </c>
      <c r="AY162" s="6">
        <f t="shared" si="203"/>
        <v>0.36375387893750555</v>
      </c>
      <c r="AZ162" s="6"/>
      <c r="BA162" s="179">
        <f t="shared" si="204"/>
        <v>0.37857685543764552</v>
      </c>
      <c r="BB162" s="179">
        <f t="shared" si="205"/>
        <v>0.24310740528489244</v>
      </c>
      <c r="BC162" s="179">
        <f t="shared" si="206"/>
        <v>0.43750312268338715</v>
      </c>
      <c r="BD162" s="179"/>
      <c r="BE162" s="546">
        <f t="shared" si="207"/>
        <v>5.016215241556958E-2</v>
      </c>
      <c r="BF162" s="546">
        <f t="shared" si="208"/>
        <v>3.8696808510638295E-2</v>
      </c>
      <c r="BG162" s="546">
        <f t="shared" si="209"/>
        <v>2.4164299998653107E-3</v>
      </c>
      <c r="BH162" s="546">
        <f t="shared" si="210"/>
        <v>1.1338493666868003E-2</v>
      </c>
      <c r="BI162">
        <f t="shared" si="211"/>
        <v>2.8999999999999998E-3</v>
      </c>
      <c r="BK162" s="472">
        <f t="shared" si="212"/>
        <v>105.51388459294118</v>
      </c>
      <c r="BL162" s="179">
        <f t="shared" si="213"/>
        <v>1.7159999999999998E-2</v>
      </c>
      <c r="BM162" s="179">
        <f t="shared" si="214"/>
        <v>3.1200000000000002E-2</v>
      </c>
      <c r="BN162" s="546"/>
      <c r="BP162" s="472">
        <f t="shared" si="215"/>
        <v>48.36</v>
      </c>
      <c r="BQ162" s="546">
        <f t="shared" si="216"/>
        <v>2.8664087094611192E-2</v>
      </c>
      <c r="BR162" s="546">
        <f t="shared" si="217"/>
        <v>1.1820242100870591E-2</v>
      </c>
      <c r="BS162" s="546">
        <f t="shared" si="218"/>
        <v>1.9140898235771493E-2</v>
      </c>
      <c r="BT162" s="546">
        <f t="shared" si="219"/>
        <v>1.3926862161630858E-2</v>
      </c>
      <c r="BU162" s="546"/>
      <c r="BV162" s="656">
        <f t="shared" si="250"/>
        <v>2.171771556550952E-2</v>
      </c>
      <c r="BW162" s="472">
        <f t="shared" si="221"/>
        <v>95.269805158393638</v>
      </c>
      <c r="BX162" s="179">
        <f t="shared" si="222"/>
        <v>0.24914368975133486</v>
      </c>
      <c r="BY162" s="6">
        <f t="shared" si="223"/>
        <v>2.6208</v>
      </c>
      <c r="BZ162" s="179">
        <f t="shared" si="224"/>
        <v>0.91318864873863714</v>
      </c>
      <c r="CA162" s="6">
        <f t="shared" si="225"/>
        <v>91.318864873863717</v>
      </c>
      <c r="CB162">
        <f t="shared" si="226"/>
        <v>52</v>
      </c>
      <c r="CD162" s="581">
        <f t="shared" si="251"/>
        <v>-50</v>
      </c>
      <c r="CE162">
        <f t="shared" si="252"/>
        <v>-50</v>
      </c>
    </row>
    <row r="163" spans="5:83" x14ac:dyDescent="0.2">
      <c r="E163" s="176">
        <v>53</v>
      </c>
      <c r="F163" s="223">
        <f t="shared" si="253"/>
        <v>5.8300000000000005E-2</v>
      </c>
      <c r="G163" s="223">
        <f t="shared" si="234"/>
        <v>0.10600000000000001</v>
      </c>
      <c r="H163" s="223">
        <f t="shared" si="235"/>
        <v>1.3992</v>
      </c>
      <c r="I163" s="223">
        <f t="shared" si="236"/>
        <v>1.2720000000000002</v>
      </c>
      <c r="J163" s="559">
        <f t="shared" si="171"/>
        <v>10</v>
      </c>
      <c r="K163" s="454">
        <f t="shared" si="172"/>
        <v>24.25</v>
      </c>
      <c r="L163" s="454">
        <f t="shared" si="173"/>
        <v>34.25</v>
      </c>
      <c r="M163" s="454"/>
      <c r="N163" s="223">
        <f t="shared" si="174"/>
        <v>0.70802919708029199</v>
      </c>
      <c r="O163" s="178">
        <f t="shared" si="237"/>
        <v>2.5543839068474097</v>
      </c>
      <c r="P163" s="178">
        <f t="shared" si="238"/>
        <v>4.4332282680822832</v>
      </c>
      <c r="Q163" s="223">
        <f t="shared" si="177"/>
        <v>0.10643266278530873</v>
      </c>
      <c r="R163" s="223">
        <f t="shared" si="239"/>
        <v>0.21286532557061746</v>
      </c>
      <c r="S163" s="223">
        <f t="shared" si="240"/>
        <v>24</v>
      </c>
      <c r="T163" s="223">
        <f t="shared" si="241"/>
        <v>0.7942580575149214</v>
      </c>
      <c r="U163" s="223">
        <f t="shared" si="181"/>
        <v>3.7330128703201306</v>
      </c>
      <c r="V163" s="223">
        <f t="shared" si="182"/>
        <v>1.5393867506474765</v>
      </c>
      <c r="W163" s="203">
        <f t="shared" si="183"/>
        <v>350</v>
      </c>
      <c r="X163" s="454">
        <f t="shared" si="184"/>
        <v>189.66695847999415</v>
      </c>
      <c r="Z163" s="223">
        <f t="shared" si="185"/>
        <v>0.43041288576309544</v>
      </c>
      <c r="AA163" s="179">
        <f t="shared" si="186"/>
        <v>0.83420229405630864</v>
      </c>
      <c r="AB163" s="179">
        <f t="shared" si="242"/>
        <v>3.2913046530372254E-2</v>
      </c>
      <c r="AC163" s="179"/>
      <c r="AD163" s="179">
        <f t="shared" si="188"/>
        <v>0.56206185567010303</v>
      </c>
      <c r="AE163" s="563">
        <f t="shared" si="243"/>
        <v>715.34647203177599</v>
      </c>
      <c r="AF163" s="546">
        <f t="shared" si="244"/>
        <v>2.8524639175257726E-2</v>
      </c>
      <c r="AH163" s="179">
        <f t="shared" si="245"/>
        <v>0.56988240668300028</v>
      </c>
      <c r="AI163" s="179">
        <f t="shared" si="246"/>
        <v>0.7942580575149214</v>
      </c>
      <c r="AJ163" s="179">
        <f t="shared" si="247"/>
        <v>1.5735244870480898</v>
      </c>
      <c r="AL163" s="563">
        <f t="shared" si="248"/>
        <v>58.300000000000004</v>
      </c>
      <c r="AM163" s="472">
        <f t="shared" si="249"/>
        <v>189.66695847999415</v>
      </c>
      <c r="AO163">
        <f t="shared" si="196"/>
        <v>58.300000000000004</v>
      </c>
      <c r="AP163">
        <f t="shared" si="197"/>
        <v>189.66695847999415</v>
      </c>
      <c r="AR163" s="6">
        <f t="shared" si="233"/>
        <v>5.2723996209676072</v>
      </c>
      <c r="AS163" s="6">
        <f t="shared" si="230"/>
        <v>3.7330128703201306</v>
      </c>
      <c r="AT163" s="6">
        <f t="shared" si="231"/>
        <v>1.5393867506474765</v>
      </c>
      <c r="AU163" s="179">
        <f t="shared" si="232"/>
        <v>0.70802919708029199</v>
      </c>
      <c r="AW163" s="6">
        <f t="shared" si="201"/>
        <v>0.90681104308193194</v>
      </c>
      <c r="AX163" s="6">
        <f t="shared" si="202"/>
        <v>3.2974947021161154</v>
      </c>
      <c r="AY163" s="6">
        <f t="shared" si="203"/>
        <v>0.37787893710630682</v>
      </c>
      <c r="AZ163" s="6"/>
      <c r="BA163" s="179">
        <f t="shared" si="204"/>
        <v>0.38585717958067722</v>
      </c>
      <c r="BB163" s="179">
        <f t="shared" si="205"/>
        <v>0.24778254769421734</v>
      </c>
      <c r="BC163" s="179">
        <f t="shared" si="206"/>
        <v>0.4459166442734524</v>
      </c>
      <c r="BD163" s="179"/>
      <c r="BE163" s="546">
        <f t="shared" si="207"/>
        <v>5.2110017061884242E-2</v>
      </c>
      <c r="BF163" s="546">
        <f t="shared" si="208"/>
        <v>3.8696808510638295E-2</v>
      </c>
      <c r="BG163" s="546">
        <f t="shared" si="209"/>
        <v>2.3708369809999266E-3</v>
      </c>
      <c r="BH163" s="546">
        <f t="shared" si="210"/>
        <v>1.1124559824096908E-2</v>
      </c>
      <c r="BI163">
        <f t="shared" si="211"/>
        <v>2.8999999999999998E-3</v>
      </c>
      <c r="BK163" s="472">
        <f t="shared" si="212"/>
        <v>107.20222237761936</v>
      </c>
      <c r="BL163" s="179">
        <f t="shared" si="213"/>
        <v>1.7490000000000002E-2</v>
      </c>
      <c r="BM163" s="179">
        <f t="shared" si="214"/>
        <v>3.1800000000000002E-2</v>
      </c>
      <c r="BN163" s="546"/>
      <c r="BP163" s="472">
        <f t="shared" si="215"/>
        <v>49.29</v>
      </c>
      <c r="BQ163" s="546">
        <f t="shared" si="216"/>
        <v>2.9777152606790997E-2</v>
      </c>
      <c r="BR163" s="546">
        <f t="shared" si="217"/>
        <v>1.2279238188367418E-2</v>
      </c>
      <c r="BS163" s="546">
        <f t="shared" si="218"/>
        <v>1.9884165364009668E-2</v>
      </c>
      <c r="BT163" s="546">
        <f t="shared" si="219"/>
        <v>1.392686216163082E-2</v>
      </c>
      <c r="BU163" s="546"/>
      <c r="BV163" s="656">
        <f t="shared" si="250"/>
        <v>2.2135363941769324E-2</v>
      </c>
      <c r="BW163" s="472">
        <f t="shared" si="221"/>
        <v>98.002782262568232</v>
      </c>
      <c r="BX163" s="179">
        <f t="shared" si="222"/>
        <v>0.25449500464018765</v>
      </c>
      <c r="BY163" s="6">
        <f t="shared" si="223"/>
        <v>2.6712000000000002</v>
      </c>
      <c r="BZ163" s="179">
        <f t="shared" si="224"/>
        <v>0.91301382945366638</v>
      </c>
      <c r="CA163" s="6">
        <f t="shared" si="225"/>
        <v>91.30138294536664</v>
      </c>
      <c r="CB163">
        <f t="shared" si="226"/>
        <v>53</v>
      </c>
      <c r="CD163" s="581">
        <f t="shared" si="251"/>
        <v>-50</v>
      </c>
      <c r="CE163">
        <f t="shared" si="252"/>
        <v>-50</v>
      </c>
    </row>
    <row r="164" spans="5:83" x14ac:dyDescent="0.2">
      <c r="E164" s="176">
        <v>54</v>
      </c>
      <c r="F164" s="223">
        <f t="shared" si="253"/>
        <v>5.9400000000000001E-2</v>
      </c>
      <c r="G164" s="223">
        <f t="shared" si="234"/>
        <v>0.10800000000000001</v>
      </c>
      <c r="H164" s="223">
        <f t="shared" si="235"/>
        <v>1.4256</v>
      </c>
      <c r="I164" s="223">
        <f t="shared" si="236"/>
        <v>1.2960000000000003</v>
      </c>
      <c r="J164" s="559">
        <f t="shared" si="171"/>
        <v>10</v>
      </c>
      <c r="K164" s="454">
        <f t="shared" si="172"/>
        <v>24.25</v>
      </c>
      <c r="L164" s="454">
        <f t="shared" si="173"/>
        <v>34.25</v>
      </c>
      <c r="M164" s="454"/>
      <c r="N164" s="223">
        <f t="shared" si="174"/>
        <v>0.70802919708029199</v>
      </c>
      <c r="O164" s="178">
        <f t="shared" si="237"/>
        <v>2.5543839068474097</v>
      </c>
      <c r="P164" s="178">
        <f t="shared" si="238"/>
        <v>4.4332282680822832</v>
      </c>
      <c r="Q164" s="223">
        <f t="shared" si="177"/>
        <v>0.10643266278530873</v>
      </c>
      <c r="R164" s="223">
        <f t="shared" si="239"/>
        <v>0.21286532557061746</v>
      </c>
      <c r="S164" s="223">
        <f t="shared" si="240"/>
        <v>24</v>
      </c>
      <c r="T164" s="223">
        <f t="shared" si="241"/>
        <v>0.80924405860010862</v>
      </c>
      <c r="U164" s="223">
        <f t="shared" si="181"/>
        <v>3.8034470754205105</v>
      </c>
      <c r="V164" s="223">
        <f t="shared" si="182"/>
        <v>1.5684317836785608</v>
      </c>
      <c r="W164" s="203">
        <f t="shared" si="183"/>
        <v>350</v>
      </c>
      <c r="X164" s="454">
        <f t="shared" si="184"/>
        <v>186.1546073970313</v>
      </c>
      <c r="Z164" s="223">
        <f t="shared" si="185"/>
        <v>0.43041288576309544</v>
      </c>
      <c r="AA164" s="179">
        <f t="shared" si="186"/>
        <v>0.83420229405630864</v>
      </c>
      <c r="AB164" s="179">
        <f t="shared" si="242"/>
        <v>3.2913046530372254E-2</v>
      </c>
      <c r="AC164" s="179"/>
      <c r="AD164" s="179">
        <f t="shared" si="188"/>
        <v>0.56206185567010303</v>
      </c>
      <c r="AE164" s="563">
        <f t="shared" si="243"/>
        <v>728.84357527765849</v>
      </c>
      <c r="AF164" s="546">
        <f t="shared" si="244"/>
        <v>2.8524639175257726E-2</v>
      </c>
      <c r="AH164" s="179">
        <f t="shared" si="245"/>
        <v>0.57523353259461207</v>
      </c>
      <c r="AI164" s="179">
        <f t="shared" si="246"/>
        <v>0.80924405860010862</v>
      </c>
      <c r="AJ164" s="179">
        <f t="shared" si="247"/>
        <v>1.584625228592673</v>
      </c>
      <c r="AL164" s="563">
        <f t="shared" si="248"/>
        <v>59.4</v>
      </c>
      <c r="AM164" s="472">
        <f t="shared" si="249"/>
        <v>186.1546073970313</v>
      </c>
      <c r="AO164">
        <f t="shared" si="196"/>
        <v>59.4</v>
      </c>
      <c r="AP164">
        <f t="shared" si="197"/>
        <v>186.1546073970313</v>
      </c>
      <c r="AR164" s="6">
        <f t="shared" si="233"/>
        <v>5.3718788590990716</v>
      </c>
      <c r="AS164" s="6">
        <f t="shared" si="230"/>
        <v>3.8034470754205105</v>
      </c>
      <c r="AT164" s="6">
        <f t="shared" si="231"/>
        <v>1.5684317836785611</v>
      </c>
      <c r="AU164" s="179">
        <f t="shared" si="232"/>
        <v>0.70802919708029199</v>
      </c>
      <c r="AW164" s="6">
        <f t="shared" si="201"/>
        <v>0.94135315116657636</v>
      </c>
      <c r="AX164" s="6">
        <f t="shared" si="202"/>
        <v>3.4231023678784598</v>
      </c>
      <c r="AY164" s="6">
        <f t="shared" si="203"/>
        <v>0.3922730440021327</v>
      </c>
      <c r="AZ164" s="6"/>
      <c r="BA164" s="179">
        <f t="shared" si="204"/>
        <v>0.39313750372370887</v>
      </c>
      <c r="BB164" s="179">
        <f t="shared" si="205"/>
        <v>0.25245769010354219</v>
      </c>
      <c r="BC164" s="179">
        <f t="shared" si="206"/>
        <v>0.45433016586351754</v>
      </c>
      <c r="BD164" s="179"/>
      <c r="BE164" s="546">
        <f t="shared" si="207"/>
        <v>5.4094983891938217E-2</v>
      </c>
      <c r="BF164" s="546">
        <f t="shared" si="208"/>
        <v>3.8696808510638295E-2</v>
      </c>
      <c r="BG164" s="546">
        <f t="shared" si="209"/>
        <v>2.3269325924628911E-3</v>
      </c>
      <c r="BH164" s="546">
        <f t="shared" si="210"/>
        <v>1.0918549456984002E-2</v>
      </c>
      <c r="BI164">
        <f t="shared" si="211"/>
        <v>2.8999999999999998E-3</v>
      </c>
      <c r="BK164" s="472">
        <f t="shared" si="212"/>
        <v>108.9372744520234</v>
      </c>
      <c r="BL164" s="179">
        <f t="shared" si="213"/>
        <v>1.7819999999999999E-2</v>
      </c>
      <c r="BM164" s="179">
        <f t="shared" si="214"/>
        <v>3.2400000000000005E-2</v>
      </c>
      <c r="BN164" s="546"/>
      <c r="BP164" s="472">
        <f t="shared" si="215"/>
        <v>50.22</v>
      </c>
      <c r="BQ164" s="546">
        <f t="shared" si="216"/>
        <v>3.0911419366821843E-2</v>
      </c>
      <c r="BR164" s="546">
        <f t="shared" si="217"/>
        <v>1.2746977058483228E-2</v>
      </c>
      <c r="BS164" s="546">
        <f t="shared" si="218"/>
        <v>2.0641589961357138E-2</v>
      </c>
      <c r="BT164" s="546">
        <f t="shared" si="219"/>
        <v>1.3926862161630837E-2</v>
      </c>
      <c r="BU164" s="546"/>
      <c r="BV164" s="656">
        <f t="shared" si="250"/>
        <v>2.2553012318029121E-2</v>
      </c>
      <c r="BW164" s="472">
        <f t="shared" si="221"/>
        <v>100.77986086632215</v>
      </c>
      <c r="BX164" s="179">
        <f t="shared" si="222"/>
        <v>0.25993713531834561</v>
      </c>
      <c r="BY164" s="6">
        <f t="shared" si="223"/>
        <v>2.7216000000000005</v>
      </c>
      <c r="BZ164" s="179">
        <f t="shared" si="224"/>
        <v>0.91281774349237088</v>
      </c>
      <c r="CA164" s="6">
        <f t="shared" si="225"/>
        <v>91.281774349237082</v>
      </c>
      <c r="CB164">
        <f t="shared" si="226"/>
        <v>54</v>
      </c>
      <c r="CD164" s="581">
        <f t="shared" si="251"/>
        <v>-50</v>
      </c>
      <c r="CE164">
        <f t="shared" si="252"/>
        <v>-50</v>
      </c>
    </row>
    <row r="165" spans="5:83" x14ac:dyDescent="0.2">
      <c r="E165" s="176">
        <v>55</v>
      </c>
      <c r="F165" s="223">
        <f t="shared" si="253"/>
        <v>6.0500000000000005E-2</v>
      </c>
      <c r="G165" s="223">
        <f t="shared" si="234"/>
        <v>0.11000000000000001</v>
      </c>
      <c r="H165" s="223">
        <f t="shared" si="235"/>
        <v>1.4520000000000002</v>
      </c>
      <c r="I165" s="223">
        <f t="shared" si="236"/>
        <v>1.3200000000000003</v>
      </c>
      <c r="J165" s="559">
        <f t="shared" si="171"/>
        <v>10</v>
      </c>
      <c r="K165" s="454">
        <f t="shared" si="172"/>
        <v>24.25</v>
      </c>
      <c r="L165" s="454">
        <f t="shared" si="173"/>
        <v>34.25</v>
      </c>
      <c r="M165" s="454"/>
      <c r="N165" s="223">
        <f t="shared" si="174"/>
        <v>0.70802919708029199</v>
      </c>
      <c r="O165" s="178">
        <f t="shared" si="237"/>
        <v>2.5543839068474097</v>
      </c>
      <c r="P165" s="178">
        <f t="shared" si="238"/>
        <v>4.4332282680822832</v>
      </c>
      <c r="Q165" s="223">
        <f t="shared" si="177"/>
        <v>0.10643266278530873</v>
      </c>
      <c r="R165" s="223">
        <f t="shared" si="239"/>
        <v>0.21286532557061746</v>
      </c>
      <c r="S165" s="223">
        <f t="shared" si="240"/>
        <v>24</v>
      </c>
      <c r="T165" s="223">
        <f t="shared" si="241"/>
        <v>0.82423005968529572</v>
      </c>
      <c r="U165" s="223">
        <f t="shared" si="181"/>
        <v>3.87388128052089</v>
      </c>
      <c r="V165" s="223">
        <f t="shared" si="182"/>
        <v>1.5974768167096451</v>
      </c>
      <c r="W165" s="203">
        <f t="shared" si="183"/>
        <v>350</v>
      </c>
      <c r="X165" s="454">
        <f t="shared" si="184"/>
        <v>182.76997817163073</v>
      </c>
      <c r="Z165" s="223">
        <f t="shared" si="185"/>
        <v>0.43041288576309544</v>
      </c>
      <c r="AA165" s="179">
        <f t="shared" si="186"/>
        <v>0.83420229405630864</v>
      </c>
      <c r="AB165" s="179">
        <f t="shared" si="242"/>
        <v>3.2913046530372254E-2</v>
      </c>
      <c r="AC165" s="179"/>
      <c r="AD165" s="179">
        <f t="shared" si="188"/>
        <v>0.56206185567010303</v>
      </c>
      <c r="AE165" s="563">
        <f t="shared" si="243"/>
        <v>742.3406785235411</v>
      </c>
      <c r="AF165" s="546">
        <f t="shared" si="244"/>
        <v>2.8524639175257726E-2</v>
      </c>
      <c r="AH165" s="179">
        <f t="shared" si="245"/>
        <v>0.58053533621627607</v>
      </c>
      <c r="AI165" s="179">
        <f t="shared" si="246"/>
        <v>0.82423005968529572</v>
      </c>
      <c r="AJ165" s="179">
        <f t="shared" si="247"/>
        <v>1.5957259701372561</v>
      </c>
      <c r="AL165" s="563">
        <f t="shared" si="248"/>
        <v>60.500000000000007</v>
      </c>
      <c r="AM165" s="472">
        <f t="shared" si="249"/>
        <v>182.76997817163073</v>
      </c>
      <c r="AO165">
        <f t="shared" si="196"/>
        <v>60.500000000000007</v>
      </c>
      <c r="AP165">
        <f t="shared" si="197"/>
        <v>182.76997817163073</v>
      </c>
      <c r="AR165" s="6">
        <f t="shared" si="233"/>
        <v>5.4713580972305351</v>
      </c>
      <c r="AS165" s="6">
        <f t="shared" si="230"/>
        <v>3.87388128052089</v>
      </c>
      <c r="AT165" s="6">
        <f t="shared" si="231"/>
        <v>1.5974768167096451</v>
      </c>
      <c r="AU165" s="179">
        <f t="shared" si="232"/>
        <v>0.70802919708029199</v>
      </c>
      <c r="AW165" s="6">
        <f t="shared" si="201"/>
        <v>0.97654090613130784</v>
      </c>
      <c r="AX165" s="6">
        <f t="shared" si="202"/>
        <v>3.5510578404774829</v>
      </c>
      <c r="AY165" s="6">
        <f t="shared" si="203"/>
        <v>0.40693619962498329</v>
      </c>
      <c r="AZ165" s="6"/>
      <c r="BA165" s="179">
        <f t="shared" si="204"/>
        <v>0.40041782786674046</v>
      </c>
      <c r="BB165" s="179">
        <f t="shared" si="205"/>
        <v>0.25713283251286706</v>
      </c>
      <c r="BC165" s="179">
        <f t="shared" si="206"/>
        <v>0.46274368745358258</v>
      </c>
      <c r="BD165" s="179"/>
      <c r="BE165" s="546">
        <f t="shared" si="207"/>
        <v>5.6117052905731504E-2</v>
      </c>
      <c r="BF165" s="546">
        <f t="shared" si="208"/>
        <v>3.8696808510638295E-2</v>
      </c>
      <c r="BG165" s="546">
        <f t="shared" si="209"/>
        <v>2.2846247271453841E-3</v>
      </c>
      <c r="BH165" s="546">
        <f t="shared" si="210"/>
        <v>1.0720030375947927E-2</v>
      </c>
      <c r="BI165">
        <f t="shared" si="211"/>
        <v>2.8999999999999998E-3</v>
      </c>
      <c r="BK165" s="472">
        <f t="shared" si="212"/>
        <v>110.71851651946311</v>
      </c>
      <c r="BL165" s="179">
        <f t="shared" si="213"/>
        <v>1.8149999999999999E-2</v>
      </c>
      <c r="BM165" s="179">
        <f t="shared" si="214"/>
        <v>3.3000000000000002E-2</v>
      </c>
      <c r="BN165" s="546"/>
      <c r="BP165" s="472">
        <f t="shared" si="215"/>
        <v>51.15</v>
      </c>
      <c r="BQ165" s="546">
        <f t="shared" si="216"/>
        <v>3.2066887374703722E-2</v>
      </c>
      <c r="BR165" s="546">
        <f t="shared" si="217"/>
        <v>1.3223458711218029E-2</v>
      </c>
      <c r="BS165" s="546">
        <f t="shared" si="218"/>
        <v>2.1413172027813895E-2</v>
      </c>
      <c r="BT165" s="546">
        <f t="shared" si="219"/>
        <v>1.3926862161630834E-2</v>
      </c>
      <c r="BU165" s="546"/>
      <c r="BV165" s="656">
        <f t="shared" si="250"/>
        <v>2.2970660694288915E-2</v>
      </c>
      <c r="BW165" s="472">
        <f t="shared" si="221"/>
        <v>103.60104096965539</v>
      </c>
      <c r="BX165" s="179">
        <f t="shared" si="222"/>
        <v>0.26546955748911855</v>
      </c>
      <c r="BY165" s="6">
        <f t="shared" si="223"/>
        <v>2.7720000000000002</v>
      </c>
      <c r="BZ165" s="179">
        <f t="shared" si="224"/>
        <v>0.91260173889328955</v>
      </c>
      <c r="CA165" s="6">
        <f t="shared" si="225"/>
        <v>91.260173889328954</v>
      </c>
      <c r="CB165">
        <f t="shared" si="226"/>
        <v>55.000000000000007</v>
      </c>
      <c r="CD165" s="581">
        <f t="shared" si="251"/>
        <v>-50</v>
      </c>
      <c r="CE165">
        <f t="shared" si="252"/>
        <v>-50</v>
      </c>
    </row>
    <row r="166" spans="5:83" x14ac:dyDescent="0.2">
      <c r="E166" s="176">
        <v>56</v>
      </c>
      <c r="F166" s="223">
        <f t="shared" si="253"/>
        <v>6.1600000000000009E-2</v>
      </c>
      <c r="G166" s="223">
        <f t="shared" si="234"/>
        <v>0.11200000000000002</v>
      </c>
      <c r="H166" s="223">
        <f t="shared" si="235"/>
        <v>1.4784000000000002</v>
      </c>
      <c r="I166" s="223">
        <f t="shared" si="236"/>
        <v>1.3440000000000003</v>
      </c>
      <c r="J166" s="559">
        <f t="shared" si="171"/>
        <v>10</v>
      </c>
      <c r="K166" s="454">
        <f t="shared" si="172"/>
        <v>24.25</v>
      </c>
      <c r="L166" s="454">
        <f t="shared" si="173"/>
        <v>34.25</v>
      </c>
      <c r="M166" s="454"/>
      <c r="N166" s="223">
        <f t="shared" si="174"/>
        <v>0.70802919708029199</v>
      </c>
      <c r="O166" s="178">
        <f t="shared" si="237"/>
        <v>2.5543839068474097</v>
      </c>
      <c r="P166" s="178">
        <f t="shared" si="238"/>
        <v>4.4332282680822832</v>
      </c>
      <c r="Q166" s="223">
        <f t="shared" si="177"/>
        <v>0.10643266278530873</v>
      </c>
      <c r="R166" s="223">
        <f t="shared" si="239"/>
        <v>0.21286532557061746</v>
      </c>
      <c r="S166" s="223">
        <f t="shared" si="240"/>
        <v>24</v>
      </c>
      <c r="T166" s="223">
        <f t="shared" si="241"/>
        <v>0.83921606077048305</v>
      </c>
      <c r="U166" s="223">
        <f t="shared" si="181"/>
        <v>3.9443154856212699</v>
      </c>
      <c r="V166" s="223">
        <f t="shared" si="182"/>
        <v>1.6265218497407299</v>
      </c>
      <c r="W166" s="203">
        <f t="shared" si="183"/>
        <v>350</v>
      </c>
      <c r="X166" s="454">
        <f t="shared" si="184"/>
        <v>179.50622856142303</v>
      </c>
      <c r="Z166" s="223">
        <f t="shared" si="185"/>
        <v>0.43041288576309544</v>
      </c>
      <c r="AA166" s="179">
        <f t="shared" si="186"/>
        <v>0.83420229405630864</v>
      </c>
      <c r="AB166" s="179">
        <f t="shared" si="242"/>
        <v>3.2913046530372254E-2</v>
      </c>
      <c r="AC166" s="179"/>
      <c r="AD166" s="179">
        <f t="shared" si="188"/>
        <v>0.56206185567010303</v>
      </c>
      <c r="AE166" s="563">
        <f t="shared" si="243"/>
        <v>755.83778176942371</v>
      </c>
      <c r="AF166" s="546">
        <f t="shared" si="244"/>
        <v>2.8524639175257726E-2</v>
      </c>
      <c r="AH166" s="179">
        <f t="shared" si="245"/>
        <v>0.58578915675370169</v>
      </c>
      <c r="AI166" s="179">
        <f t="shared" si="246"/>
        <v>0.83921606077048305</v>
      </c>
      <c r="AJ166" s="179">
        <f t="shared" si="247"/>
        <v>1.6068267116818393</v>
      </c>
      <c r="AL166" s="563">
        <f t="shared" si="248"/>
        <v>61.600000000000009</v>
      </c>
      <c r="AM166" s="472">
        <f t="shared" si="249"/>
        <v>179.50622856142303</v>
      </c>
      <c r="AO166">
        <f t="shared" si="196"/>
        <v>61.600000000000009</v>
      </c>
      <c r="AP166">
        <f t="shared" si="197"/>
        <v>179.50622856142303</v>
      </c>
      <c r="AR166" s="6">
        <f t="shared" si="233"/>
        <v>5.5708373353619995</v>
      </c>
      <c r="AS166" s="6">
        <f t="shared" si="230"/>
        <v>3.9443154856212699</v>
      </c>
      <c r="AT166" s="6">
        <f t="shared" si="231"/>
        <v>1.6265218497407297</v>
      </c>
      <c r="AU166" s="179">
        <f t="shared" si="232"/>
        <v>0.70802919708029199</v>
      </c>
      <c r="AW166" s="6">
        <f t="shared" si="201"/>
        <v>1.012374307976126</v>
      </c>
      <c r="AX166" s="6">
        <f t="shared" si="202"/>
        <v>3.6813611199131855</v>
      </c>
      <c r="AY166" s="6">
        <f t="shared" si="203"/>
        <v>0.42186840397485875</v>
      </c>
      <c r="AZ166" s="6"/>
      <c r="BA166" s="179">
        <f t="shared" si="204"/>
        <v>0.40769815200977216</v>
      </c>
      <c r="BB166" s="179">
        <f t="shared" si="205"/>
        <v>0.26180797492219193</v>
      </c>
      <c r="BC166" s="179">
        <f t="shared" si="206"/>
        <v>0.47115720904364794</v>
      </c>
      <c r="BD166" s="179"/>
      <c r="BE166" s="546">
        <f t="shared" si="207"/>
        <v>5.8176224103264153E-2</v>
      </c>
      <c r="BF166" s="546">
        <f t="shared" si="208"/>
        <v>3.8696808510638295E-2</v>
      </c>
      <c r="BG166" s="546">
        <f t="shared" si="209"/>
        <v>2.2438278570177878E-3</v>
      </c>
      <c r="BH166" s="546">
        <f t="shared" si="210"/>
        <v>1.0528601262091715E-2</v>
      </c>
      <c r="BI166">
        <f t="shared" si="211"/>
        <v>2.8999999999999998E-3</v>
      </c>
      <c r="BK166" s="472">
        <f t="shared" si="212"/>
        <v>112.54546173301196</v>
      </c>
      <c r="BL166" s="179">
        <f t="shared" si="213"/>
        <v>1.8480000000000003E-2</v>
      </c>
      <c r="BM166" s="179">
        <f t="shared" si="214"/>
        <v>3.3600000000000005E-2</v>
      </c>
      <c r="BN166" s="546"/>
      <c r="BP166" s="472">
        <f t="shared" si="215"/>
        <v>52.080000000000005</v>
      </c>
      <c r="BQ166" s="546">
        <f t="shared" si="216"/>
        <v>3.3243556630436662E-2</v>
      </c>
      <c r="BR166" s="546">
        <f t="shared" si="217"/>
        <v>1.3708683146571816E-2</v>
      </c>
      <c r="BS166" s="546">
        <f t="shared" si="218"/>
        <v>2.219891156337998E-2</v>
      </c>
      <c r="BT166" s="546">
        <f t="shared" si="219"/>
        <v>1.3926862161630839E-2</v>
      </c>
      <c r="BU166" s="546"/>
      <c r="BV166" s="656">
        <f t="shared" si="250"/>
        <v>2.3388309070548716E-2</v>
      </c>
      <c r="BW166" s="472">
        <f t="shared" si="221"/>
        <v>106.466322572568</v>
      </c>
      <c r="BX166" s="179">
        <f t="shared" si="222"/>
        <v>0.27109178430557995</v>
      </c>
      <c r="BY166" s="6">
        <f t="shared" si="223"/>
        <v>2.8224000000000005</v>
      </c>
      <c r="BZ166" s="179">
        <f t="shared" si="224"/>
        <v>0.91236705858378941</v>
      </c>
      <c r="CA166" s="6">
        <f t="shared" si="225"/>
        <v>91.23670585837894</v>
      </c>
      <c r="CB166">
        <f t="shared" si="226"/>
        <v>56.000000000000007</v>
      </c>
      <c r="CD166" s="581">
        <f t="shared" si="251"/>
        <v>-50</v>
      </c>
      <c r="CE166">
        <f t="shared" si="252"/>
        <v>-50</v>
      </c>
    </row>
    <row r="167" spans="5:83" x14ac:dyDescent="0.2">
      <c r="E167" s="176">
        <v>57</v>
      </c>
      <c r="F167" s="223">
        <f t="shared" si="253"/>
        <v>6.2699999999999992E-2</v>
      </c>
      <c r="G167" s="223">
        <f t="shared" si="234"/>
        <v>0.11399999999999999</v>
      </c>
      <c r="H167" s="223">
        <f t="shared" si="235"/>
        <v>1.5047999999999999</v>
      </c>
      <c r="I167" s="223">
        <f t="shared" si="236"/>
        <v>1.3679999999999999</v>
      </c>
      <c r="J167" s="559">
        <f t="shared" si="171"/>
        <v>10</v>
      </c>
      <c r="K167" s="454">
        <f t="shared" si="172"/>
        <v>24.25</v>
      </c>
      <c r="L167" s="454">
        <f t="shared" si="173"/>
        <v>34.25</v>
      </c>
      <c r="M167" s="454"/>
      <c r="N167" s="223">
        <f t="shared" si="174"/>
        <v>0.70802919708029199</v>
      </c>
      <c r="O167" s="178">
        <f t="shared" si="237"/>
        <v>2.5543839068474097</v>
      </c>
      <c r="P167" s="178">
        <f t="shared" si="238"/>
        <v>4.4332282680822832</v>
      </c>
      <c r="Q167" s="223">
        <f t="shared" si="177"/>
        <v>0.10643266278530873</v>
      </c>
      <c r="R167" s="223">
        <f t="shared" si="239"/>
        <v>0.21286532557061746</v>
      </c>
      <c r="S167" s="223">
        <f t="shared" si="240"/>
        <v>24</v>
      </c>
      <c r="T167" s="223">
        <f t="shared" si="241"/>
        <v>0.85420206185567005</v>
      </c>
      <c r="U167" s="223">
        <f t="shared" si="181"/>
        <v>4.0147496907216498</v>
      </c>
      <c r="V167" s="223">
        <f t="shared" si="182"/>
        <v>1.6555668827718142</v>
      </c>
      <c r="W167" s="203">
        <f t="shared" si="183"/>
        <v>350</v>
      </c>
      <c r="X167" s="454">
        <f t="shared" si="184"/>
        <v>176.35699648139808</v>
      </c>
      <c r="Z167" s="223">
        <f t="shared" si="185"/>
        <v>0.43041288576309544</v>
      </c>
      <c r="AA167" s="179">
        <f t="shared" si="186"/>
        <v>0.83420229405630864</v>
      </c>
      <c r="AB167" s="179">
        <f t="shared" si="242"/>
        <v>3.2913046530372254E-2</v>
      </c>
      <c r="AC167" s="179"/>
      <c r="AD167" s="179">
        <f t="shared" si="188"/>
        <v>0.56206185567010303</v>
      </c>
      <c r="AE167" s="563">
        <f t="shared" si="243"/>
        <v>769.3348850153061</v>
      </c>
      <c r="AF167" s="546">
        <f t="shared" si="244"/>
        <v>2.8524639175257726E-2</v>
      </c>
      <c r="AH167" s="179">
        <f t="shared" si="245"/>
        <v>0.59099627388392295</v>
      </c>
      <c r="AI167" s="179">
        <f t="shared" si="246"/>
        <v>0.85420206185567005</v>
      </c>
      <c r="AJ167" s="179">
        <f t="shared" si="247"/>
        <v>1.6179274532264223</v>
      </c>
      <c r="AL167" s="563">
        <f t="shared" si="248"/>
        <v>62.699999999999989</v>
      </c>
      <c r="AM167" s="472">
        <f t="shared" si="249"/>
        <v>176.35699648139808</v>
      </c>
      <c r="AO167">
        <f t="shared" si="196"/>
        <v>62.699999999999989</v>
      </c>
      <c r="AP167">
        <f t="shared" si="197"/>
        <v>176.35699648139808</v>
      </c>
      <c r="AR167" s="6">
        <f t="shared" si="233"/>
        <v>5.670316573493464</v>
      </c>
      <c r="AS167" s="6">
        <f t="shared" si="230"/>
        <v>4.0147496907216498</v>
      </c>
      <c r="AT167" s="6">
        <f t="shared" si="231"/>
        <v>1.6555668827718142</v>
      </c>
      <c r="AU167" s="179">
        <f t="shared" si="232"/>
        <v>0.70802919708029199</v>
      </c>
      <c r="AW167" s="6">
        <f t="shared" si="201"/>
        <v>1.048853356701031</v>
      </c>
      <c r="AX167" s="6">
        <f t="shared" si="202"/>
        <v>3.8140122061855672</v>
      </c>
      <c r="AY167" s="6">
        <f t="shared" si="203"/>
        <v>0.43706965705175888</v>
      </c>
      <c r="AZ167" s="6"/>
      <c r="BA167" s="179">
        <f t="shared" si="204"/>
        <v>0.4149784761528037</v>
      </c>
      <c r="BB167" s="179">
        <f t="shared" si="205"/>
        <v>0.26648311733151675</v>
      </c>
      <c r="BC167" s="179">
        <f t="shared" si="206"/>
        <v>0.47957073063371286</v>
      </c>
      <c r="BD167" s="179"/>
      <c r="BE167" s="546">
        <f t="shared" si="207"/>
        <v>6.0272497484536072E-2</v>
      </c>
      <c r="BF167" s="546">
        <f t="shared" si="208"/>
        <v>3.8696808510638295E-2</v>
      </c>
      <c r="BG167" s="546">
        <f t="shared" si="209"/>
        <v>2.2044624560174759E-3</v>
      </c>
      <c r="BH167" s="546">
        <f t="shared" si="210"/>
        <v>1.0343888959248003E-2</v>
      </c>
      <c r="BI167">
        <f t="shared" si="211"/>
        <v>2.8999999999999998E-3</v>
      </c>
      <c r="BK167" s="472">
        <f t="shared" si="212"/>
        <v>114.41765741043984</v>
      </c>
      <c r="BL167" s="179">
        <f t="shared" si="213"/>
        <v>1.8809999999999997E-2</v>
      </c>
      <c r="BM167" s="179">
        <f t="shared" si="214"/>
        <v>3.4199999999999994E-2</v>
      </c>
      <c r="BN167" s="546"/>
      <c r="BP167" s="472">
        <f t="shared" si="215"/>
        <v>53.009999999999991</v>
      </c>
      <c r="BQ167" s="546">
        <f t="shared" si="216"/>
        <v>3.4441427134020618E-2</v>
      </c>
      <c r="BR167" s="546">
        <f t="shared" si="217"/>
        <v>1.4202650364544584E-2</v>
      </c>
      <c r="BS167" s="546">
        <f t="shared" si="218"/>
        <v>2.2998808568055321E-2</v>
      </c>
      <c r="BT167" s="546">
        <f t="shared" si="219"/>
        <v>1.3926862161630848E-2</v>
      </c>
      <c r="BU167" s="546"/>
      <c r="BV167" s="656">
        <f t="shared" si="250"/>
        <v>2.3805957446808509E-2</v>
      </c>
      <c r="BW167" s="472">
        <f t="shared" si="221"/>
        <v>109.37570567505989</v>
      </c>
      <c r="BX167" s="179">
        <f t="shared" si="222"/>
        <v>0.27680336308549974</v>
      </c>
      <c r="BY167" s="6">
        <f t="shared" si="223"/>
        <v>2.8727999999999998</v>
      </c>
      <c r="BZ167" s="179">
        <f t="shared" si="224"/>
        <v>0.91211485029202855</v>
      </c>
      <c r="CA167" s="6">
        <f t="shared" si="225"/>
        <v>91.211485029202848</v>
      </c>
      <c r="CB167">
        <f t="shared" si="226"/>
        <v>56.999999999999993</v>
      </c>
      <c r="CD167" s="581">
        <f t="shared" si="251"/>
        <v>-50</v>
      </c>
      <c r="CE167">
        <f t="shared" si="252"/>
        <v>-50</v>
      </c>
    </row>
    <row r="168" spans="5:83" x14ac:dyDescent="0.2">
      <c r="E168" s="176">
        <v>58</v>
      </c>
      <c r="F168" s="223">
        <f t="shared" si="253"/>
        <v>6.3799999999999996E-2</v>
      </c>
      <c r="G168" s="223">
        <f t="shared" si="234"/>
        <v>0.11599999999999999</v>
      </c>
      <c r="H168" s="223">
        <f t="shared" si="235"/>
        <v>1.5311999999999999</v>
      </c>
      <c r="I168" s="223">
        <f t="shared" si="236"/>
        <v>1.3919999999999999</v>
      </c>
      <c r="J168" s="559">
        <f t="shared" si="171"/>
        <v>10</v>
      </c>
      <c r="K168" s="454">
        <f t="shared" si="172"/>
        <v>24.25</v>
      </c>
      <c r="L168" s="454">
        <f t="shared" si="173"/>
        <v>34.25</v>
      </c>
      <c r="M168" s="454"/>
      <c r="N168" s="223">
        <f t="shared" si="174"/>
        <v>0.70802919708029199</v>
      </c>
      <c r="O168" s="178">
        <f t="shared" si="237"/>
        <v>2.5543839068474097</v>
      </c>
      <c r="P168" s="178">
        <f t="shared" si="238"/>
        <v>4.4332282680822832</v>
      </c>
      <c r="Q168" s="223">
        <f t="shared" si="177"/>
        <v>0.10643266278530873</v>
      </c>
      <c r="R168" s="223">
        <f t="shared" si="239"/>
        <v>0.21286532557061746</v>
      </c>
      <c r="S168" s="223">
        <f t="shared" si="240"/>
        <v>24</v>
      </c>
      <c r="T168" s="223">
        <f t="shared" si="241"/>
        <v>0.86918806294085715</v>
      </c>
      <c r="U168" s="223">
        <f t="shared" si="181"/>
        <v>4.0851838958220288</v>
      </c>
      <c r="V168" s="223">
        <f t="shared" si="182"/>
        <v>1.6846119158028983</v>
      </c>
      <c r="W168" s="203">
        <f t="shared" si="183"/>
        <v>350</v>
      </c>
      <c r="X168" s="454">
        <f t="shared" si="184"/>
        <v>173.31635861102919</v>
      </c>
      <c r="Z168" s="223">
        <f t="shared" si="185"/>
        <v>0.43041288576309544</v>
      </c>
      <c r="AA168" s="179">
        <f t="shared" si="186"/>
        <v>0.83420229405630864</v>
      </c>
      <c r="AB168" s="179">
        <f t="shared" si="242"/>
        <v>3.2913046530372254E-2</v>
      </c>
      <c r="AC168" s="179"/>
      <c r="AD168" s="179">
        <f t="shared" si="188"/>
        <v>0.56206185567010303</v>
      </c>
      <c r="AE168" s="563">
        <f t="shared" si="243"/>
        <v>782.8319882611886</v>
      </c>
      <c r="AF168" s="546">
        <f t="shared" si="244"/>
        <v>2.8524639175257726E-2</v>
      </c>
      <c r="AH168" s="179">
        <f t="shared" si="245"/>
        <v>0.59615791139525176</v>
      </c>
      <c r="AI168" s="179">
        <f t="shared" si="246"/>
        <v>0.86918806294085715</v>
      </c>
      <c r="AJ168" s="179">
        <f t="shared" si="247"/>
        <v>1.6290281947710052</v>
      </c>
      <c r="AL168" s="563">
        <f t="shared" si="248"/>
        <v>63.8</v>
      </c>
      <c r="AM168" s="472">
        <f t="shared" si="249"/>
        <v>173.31635861102919</v>
      </c>
      <c r="AO168">
        <f t="shared" si="196"/>
        <v>63.8</v>
      </c>
      <c r="AP168">
        <f t="shared" si="197"/>
        <v>173.31635861102919</v>
      </c>
      <c r="AR168" s="6">
        <f t="shared" si="233"/>
        <v>5.7697958116249266</v>
      </c>
      <c r="AS168" s="6">
        <f t="shared" si="230"/>
        <v>4.0851838958220288</v>
      </c>
      <c r="AT168" s="6">
        <f t="shared" si="231"/>
        <v>1.6846119158028978</v>
      </c>
      <c r="AU168" s="179">
        <f t="shared" si="232"/>
        <v>0.70802919708029211</v>
      </c>
      <c r="AW168" s="6">
        <f t="shared" si="201"/>
        <v>1.0859780523060225</v>
      </c>
      <c r="AX168" s="6">
        <f t="shared" si="202"/>
        <v>3.9490110992946277</v>
      </c>
      <c r="AY168" s="6">
        <f t="shared" si="203"/>
        <v>0.4525399588556836</v>
      </c>
      <c r="AZ168" s="6"/>
      <c r="BA168" s="179">
        <f t="shared" si="204"/>
        <v>0.42225880029583535</v>
      </c>
      <c r="BB168" s="179">
        <f t="shared" si="205"/>
        <v>0.27115825974084151</v>
      </c>
      <c r="BC168" s="179">
        <f t="shared" si="206"/>
        <v>0.48798425222377784</v>
      </c>
      <c r="BD168" s="179"/>
      <c r="BE168" s="546">
        <f t="shared" si="207"/>
        <v>6.2405873049547353E-2</v>
      </c>
      <c r="BF168" s="546">
        <f t="shared" si="208"/>
        <v>3.8696808510638295E-2</v>
      </c>
      <c r="BG168" s="546">
        <f t="shared" si="209"/>
        <v>2.1664544826378645E-3</v>
      </c>
      <c r="BH168" s="546">
        <f t="shared" si="210"/>
        <v>1.0165546046157522E-2</v>
      </c>
      <c r="BI168">
        <f t="shared" si="211"/>
        <v>2.8999999999999998E-3</v>
      </c>
      <c r="BK168" s="472">
        <f t="shared" si="212"/>
        <v>116.33468208898103</v>
      </c>
      <c r="BL168" s="179">
        <f t="shared" si="213"/>
        <v>1.9139999999999997E-2</v>
      </c>
      <c r="BM168" s="179">
        <f t="shared" si="214"/>
        <v>3.4799999999999998E-2</v>
      </c>
      <c r="BN168" s="546"/>
      <c r="BP168" s="472">
        <f t="shared" si="215"/>
        <v>53.94</v>
      </c>
      <c r="BQ168" s="546">
        <f t="shared" si="216"/>
        <v>3.5660498885455631E-2</v>
      </c>
      <c r="BR168" s="546">
        <f t="shared" si="217"/>
        <v>1.4705360365136333E-2</v>
      </c>
      <c r="BS168" s="546">
        <f t="shared" si="218"/>
        <v>2.3812863041839966E-2</v>
      </c>
      <c r="BT168" s="546">
        <f t="shared" si="219"/>
        <v>1.3926862161630834E-2</v>
      </c>
      <c r="BU168" s="546"/>
      <c r="BV168" s="656">
        <f t="shared" si="250"/>
        <v>2.4223605823068307E-2</v>
      </c>
      <c r="BW168" s="472">
        <f t="shared" si="221"/>
        <v>112.32919027713106</v>
      </c>
      <c r="BX168" s="179">
        <f t="shared" si="222"/>
        <v>0.28260387236611212</v>
      </c>
      <c r="BY168" s="6">
        <f t="shared" si="223"/>
        <v>2.9231999999999996</v>
      </c>
      <c r="BZ168" s="179">
        <f t="shared" si="224"/>
        <v>0.91184617536894719</v>
      </c>
      <c r="CA168" s="6">
        <f t="shared" si="225"/>
        <v>91.18461753689472</v>
      </c>
      <c r="CB168">
        <f t="shared" si="226"/>
        <v>57.999999999999993</v>
      </c>
      <c r="CD168" s="581">
        <f t="shared" si="251"/>
        <v>-50</v>
      </c>
      <c r="CE168">
        <f t="shared" si="252"/>
        <v>-50</v>
      </c>
    </row>
    <row r="169" spans="5:83" x14ac:dyDescent="0.2">
      <c r="E169" s="176">
        <v>59</v>
      </c>
      <c r="F169" s="223">
        <f t="shared" si="253"/>
        <v>6.4899999999999999E-2</v>
      </c>
      <c r="G169" s="223">
        <f t="shared" si="234"/>
        <v>0.11799999999999999</v>
      </c>
      <c r="H169" s="223">
        <f t="shared" si="235"/>
        <v>1.5575999999999999</v>
      </c>
      <c r="I169" s="223">
        <f t="shared" si="236"/>
        <v>1.4159999999999999</v>
      </c>
      <c r="J169" s="559">
        <f t="shared" si="171"/>
        <v>10</v>
      </c>
      <c r="K169" s="454">
        <f t="shared" si="172"/>
        <v>24.25</v>
      </c>
      <c r="L169" s="454">
        <f t="shared" si="173"/>
        <v>34.25</v>
      </c>
      <c r="M169" s="454"/>
      <c r="N169" s="223">
        <f t="shared" si="174"/>
        <v>0.70802919708029199</v>
      </c>
      <c r="O169" s="178">
        <f t="shared" si="237"/>
        <v>2.5543839068474097</v>
      </c>
      <c r="P169" s="178">
        <f t="shared" si="238"/>
        <v>4.4332282680822832</v>
      </c>
      <c r="Q169" s="223">
        <f t="shared" si="177"/>
        <v>0.10643266278530873</v>
      </c>
      <c r="R169" s="223">
        <f t="shared" si="239"/>
        <v>0.21286532557061746</v>
      </c>
      <c r="S169" s="223">
        <f t="shared" si="240"/>
        <v>24</v>
      </c>
      <c r="T169" s="223">
        <f t="shared" si="241"/>
        <v>0.88417406402604437</v>
      </c>
      <c r="U169" s="223">
        <f t="shared" si="181"/>
        <v>4.1556181009224087</v>
      </c>
      <c r="V169" s="223">
        <f t="shared" si="182"/>
        <v>1.7136569488339828</v>
      </c>
      <c r="W169" s="203">
        <f t="shared" si="183"/>
        <v>350</v>
      </c>
      <c r="X169" s="454">
        <f t="shared" si="184"/>
        <v>170.37879321084228</v>
      </c>
      <c r="Z169" s="223">
        <f t="shared" si="185"/>
        <v>0.43041288576309544</v>
      </c>
      <c r="AA169" s="179">
        <f t="shared" si="186"/>
        <v>0.83420229405630864</v>
      </c>
      <c r="AB169" s="179">
        <f t="shared" si="242"/>
        <v>3.2913046530372254E-2</v>
      </c>
      <c r="AC169" s="179"/>
      <c r="AD169" s="179">
        <f t="shared" si="188"/>
        <v>0.56206185567010303</v>
      </c>
      <c r="AE169" s="563">
        <f t="shared" si="243"/>
        <v>796.32909150707133</v>
      </c>
      <c r="AF169" s="546">
        <f t="shared" si="244"/>
        <v>2.8524639175257726E-2</v>
      </c>
      <c r="AH169" s="179">
        <f t="shared" si="245"/>
        <v>0.60127524054597248</v>
      </c>
      <c r="AI169" s="179">
        <f t="shared" si="246"/>
        <v>0.88417406402604437</v>
      </c>
      <c r="AJ169" s="179">
        <f t="shared" si="247"/>
        <v>1.6401289363155884</v>
      </c>
      <c r="AL169" s="563">
        <f t="shared" si="248"/>
        <v>64.900000000000006</v>
      </c>
      <c r="AM169" s="472">
        <f t="shared" si="249"/>
        <v>170.37879321084228</v>
      </c>
      <c r="AO169">
        <f t="shared" si="196"/>
        <v>64.900000000000006</v>
      </c>
      <c r="AP169">
        <f t="shared" si="197"/>
        <v>170.37879321084228</v>
      </c>
      <c r="AR169" s="6">
        <f t="shared" si="233"/>
        <v>5.8692750497563901</v>
      </c>
      <c r="AS169" s="6">
        <f t="shared" si="230"/>
        <v>4.1556181009224087</v>
      </c>
      <c r="AT169" s="6">
        <f t="shared" si="231"/>
        <v>1.7136569488339815</v>
      </c>
      <c r="AU169" s="179">
        <f t="shared" si="232"/>
        <v>0.70802919708029211</v>
      </c>
      <c r="AW169" s="6">
        <f t="shared" si="201"/>
        <v>1.1237483947911011</v>
      </c>
      <c r="AX169" s="6">
        <f t="shared" si="202"/>
        <v>4.0863577992403686</v>
      </c>
      <c r="AY169" s="6">
        <f t="shared" si="203"/>
        <v>0.46827930938663315</v>
      </c>
      <c r="AZ169" s="6"/>
      <c r="BA169" s="179">
        <f t="shared" si="204"/>
        <v>0.42953912443886699</v>
      </c>
      <c r="BB169" s="179">
        <f t="shared" si="205"/>
        <v>0.27583340215016638</v>
      </c>
      <c r="BC169" s="179">
        <f t="shared" si="206"/>
        <v>0.49639777381384309</v>
      </c>
      <c r="BD169" s="179"/>
      <c r="BE169" s="546">
        <f t="shared" si="207"/>
        <v>6.457635079829796E-2</v>
      </c>
      <c r="BF169" s="546">
        <f t="shared" si="208"/>
        <v>3.8696808510638302E-2</v>
      </c>
      <c r="BG169" s="546">
        <f t="shared" si="209"/>
        <v>2.1297349151355284E-3</v>
      </c>
      <c r="BH169" s="546">
        <f t="shared" si="210"/>
        <v>9.9932486555446842E-3</v>
      </c>
      <c r="BI169">
        <f t="shared" si="211"/>
        <v>2.8999999999999998E-3</v>
      </c>
      <c r="BK169" s="472">
        <f t="shared" si="212"/>
        <v>118.29614287961648</v>
      </c>
      <c r="BL169" s="179">
        <f t="shared" si="213"/>
        <v>1.9469999999999998E-2</v>
      </c>
      <c r="BM169" s="179">
        <f t="shared" si="214"/>
        <v>3.5399999999999994E-2</v>
      </c>
      <c r="BN169" s="546"/>
      <c r="BP169" s="472">
        <f t="shared" si="215"/>
        <v>54.86999999999999</v>
      </c>
      <c r="BQ169" s="546">
        <f t="shared" si="216"/>
        <v>3.6900771884741689E-2</v>
      </c>
      <c r="BR169" s="546">
        <f t="shared" si="217"/>
        <v>1.5216813148347084E-2</v>
      </c>
      <c r="BS169" s="546">
        <f t="shared" si="218"/>
        <v>2.4641074984733932E-2</v>
      </c>
      <c r="BT169" s="546">
        <f t="shared" si="219"/>
        <v>1.3926862161630867E-2</v>
      </c>
      <c r="BU169" s="546"/>
      <c r="BV169" s="656">
        <f t="shared" si="250"/>
        <v>2.4641254199328107E-2</v>
      </c>
      <c r="BW169" s="472">
        <f t="shared" si="221"/>
        <v>115.32677637878169</v>
      </c>
      <c r="BX169" s="179">
        <f t="shared" si="222"/>
        <v>0.28849291925839815</v>
      </c>
      <c r="BY169" s="6">
        <f t="shared" si="223"/>
        <v>2.9735999999999998</v>
      </c>
      <c r="BZ169" s="179">
        <f t="shared" si="224"/>
        <v>0.91156201665647718</v>
      </c>
      <c r="CA169" s="6">
        <f t="shared" si="225"/>
        <v>91.156201665647714</v>
      </c>
      <c r="CB169">
        <f t="shared" si="226"/>
        <v>59</v>
      </c>
      <c r="CD169" s="581">
        <f t="shared" si="251"/>
        <v>-50</v>
      </c>
      <c r="CE169">
        <f t="shared" si="252"/>
        <v>-50</v>
      </c>
    </row>
    <row r="170" spans="5:83" x14ac:dyDescent="0.2">
      <c r="E170" s="176">
        <v>60</v>
      </c>
      <c r="F170" s="223">
        <f t="shared" si="253"/>
        <v>6.6000000000000003E-2</v>
      </c>
      <c r="G170" s="223">
        <f t="shared" si="234"/>
        <v>0.12</v>
      </c>
      <c r="H170" s="223">
        <f t="shared" si="235"/>
        <v>1.5840000000000001</v>
      </c>
      <c r="I170" s="223">
        <f t="shared" si="236"/>
        <v>1.44</v>
      </c>
      <c r="J170" s="559">
        <f t="shared" si="171"/>
        <v>10</v>
      </c>
      <c r="K170" s="454">
        <f t="shared" si="172"/>
        <v>24.25</v>
      </c>
      <c r="L170" s="454">
        <f t="shared" si="173"/>
        <v>34.25</v>
      </c>
      <c r="M170" s="454"/>
      <c r="N170" s="223">
        <f t="shared" si="174"/>
        <v>0.70802919708029199</v>
      </c>
      <c r="O170" s="178">
        <f t="shared" si="237"/>
        <v>2.5543839068474097</v>
      </c>
      <c r="P170" s="178">
        <f t="shared" si="238"/>
        <v>4.4332282680822832</v>
      </c>
      <c r="Q170" s="223">
        <f t="shared" si="177"/>
        <v>0.10643266278530873</v>
      </c>
      <c r="R170" s="223">
        <f t="shared" si="239"/>
        <v>0.21286532557061746</v>
      </c>
      <c r="S170" s="223">
        <f t="shared" si="240"/>
        <v>24</v>
      </c>
      <c r="T170" s="223">
        <f t="shared" si="241"/>
        <v>0.8991600651112317</v>
      </c>
      <c r="U170" s="223">
        <f t="shared" si="181"/>
        <v>4.2260523060227895</v>
      </c>
      <c r="V170" s="223">
        <f t="shared" si="182"/>
        <v>1.7427019818650675</v>
      </c>
      <c r="W170" s="203">
        <f t="shared" si="183"/>
        <v>350</v>
      </c>
      <c r="X170" s="454">
        <f t="shared" si="184"/>
        <v>167.53914665732816</v>
      </c>
      <c r="Z170" s="223">
        <f t="shared" si="185"/>
        <v>0.43041288576309544</v>
      </c>
      <c r="AA170" s="179">
        <f t="shared" si="186"/>
        <v>0.83420229405630864</v>
      </c>
      <c r="AB170" s="179">
        <f t="shared" si="242"/>
        <v>3.2913046530372254E-2</v>
      </c>
      <c r="AC170" s="179"/>
      <c r="AD170" s="179">
        <f t="shared" si="188"/>
        <v>0.56206185567010303</v>
      </c>
      <c r="AE170" s="563">
        <f t="shared" si="243"/>
        <v>809.82619475295371</v>
      </c>
      <c r="AF170" s="546">
        <f t="shared" si="244"/>
        <v>2.8524639175257726E-2</v>
      </c>
      <c r="AH170" s="179">
        <f t="shared" si="245"/>
        <v>0.60634938316789366</v>
      </c>
      <c r="AI170" s="179">
        <f t="shared" si="246"/>
        <v>0.8991600651112317</v>
      </c>
      <c r="AJ170" s="179">
        <f t="shared" si="247"/>
        <v>1.6512296778601716</v>
      </c>
      <c r="AL170" s="563">
        <f t="shared" si="248"/>
        <v>66</v>
      </c>
      <c r="AM170" s="472">
        <f t="shared" si="249"/>
        <v>167.53914665732816</v>
      </c>
      <c r="AO170">
        <f t="shared" si="196"/>
        <v>66</v>
      </c>
      <c r="AP170">
        <f t="shared" si="197"/>
        <v>167.53914665732816</v>
      </c>
      <c r="AR170" s="6">
        <f t="shared" si="233"/>
        <v>5.9687542878878572</v>
      </c>
      <c r="AS170" s="6">
        <f t="shared" si="230"/>
        <v>4.2260523060227895</v>
      </c>
      <c r="AT170" s="6">
        <f t="shared" si="231"/>
        <v>1.7427019818650678</v>
      </c>
      <c r="AU170" s="179">
        <f t="shared" si="232"/>
        <v>0.70802919708029199</v>
      </c>
      <c r="AW170" s="6">
        <f t="shared" ref="AW170:AW210" si="254">F170*AS170/Vout_ripple*1000</f>
        <v>1.1621643841562672</v>
      </c>
      <c r="AX170" s="6">
        <f t="shared" ref="AX170:AX210" si="255">G170*AS170/Vout_ripple2*1000</f>
        <v>4.2260523060227886</v>
      </c>
      <c r="AY170" s="6">
        <f t="shared" ref="AY170:AY210" si="256">H170/Efficiency/J170*AT170/Vinripple1</f>
        <v>0.48428770864460829</v>
      </c>
      <c r="AZ170" s="6"/>
      <c r="BA170" s="179">
        <f t="shared" ref="BA170:BA210" si="257">AI170*SQRT(AU170/3)</f>
        <v>0.43681944858189869</v>
      </c>
      <c r="BB170" s="179">
        <f t="shared" ref="BB170:BB210" si="258">AI170*Npri_sec1*SQRT((1-AU170)/3)*(Pout/Pout_total)</f>
        <v>0.28050854455949131</v>
      </c>
      <c r="BC170" s="179">
        <f t="shared" ref="BC170:BC210" si="259">AI170*Npri_sec2*SQRT((1-AU170)/3)*(Pout2/Pout_total)</f>
        <v>0.50481129540390834</v>
      </c>
      <c r="BD170" s="179"/>
      <c r="BE170" s="546">
        <f t="shared" ref="BE170:BE210" si="260">Rdson*BA170^2</f>
        <v>6.6783930730787908E-2</v>
      </c>
      <c r="BF170" s="546">
        <f t="shared" ref="BF170:BF210" si="261">0.5*L170*AI170*AM170*1000*Trise</f>
        <v>3.8696808510638288E-2</v>
      </c>
      <c r="BG170" s="546">
        <f t="shared" ref="BG170:BG210" si="262">Qg*Vdd*AM170*1000</f>
        <v>2.0942393332166022E-3</v>
      </c>
      <c r="BH170" s="546">
        <f t="shared" ref="BH170:BH210" si="263">0.5*(Coss+Csw)*L170^2*AM170*1000</f>
        <v>9.8266945112856011E-3</v>
      </c>
      <c r="BI170">
        <f t="shared" ref="BI170:BI210" si="264">J170*IQ</f>
        <v>2.8999999999999998E-3</v>
      </c>
      <c r="BK170" s="472">
        <f t="shared" ref="BK170:BK210" si="265">SUM(BE170:BI170)*1000</f>
        <v>120.30167308592841</v>
      </c>
      <c r="BL170" s="179">
        <f t="shared" ref="BL170:BL210" si="266">Vfwd2*F170</f>
        <v>1.9800000000000002E-2</v>
      </c>
      <c r="BM170" s="179">
        <f t="shared" ref="BM170:BM210" si="267">Vfwd2*G170</f>
        <v>3.5999999999999997E-2</v>
      </c>
      <c r="BN170" s="546"/>
      <c r="BP170" s="472">
        <f t="shared" ref="BP170:BP210" si="268">SUM(BL170:BO170)*1000</f>
        <v>55.800000000000004</v>
      </c>
      <c r="BQ170" s="546">
        <f t="shared" ref="BQ170:BQ210" si="269">Rdcr_pri*BA170^2</f>
        <v>3.816224613187881E-2</v>
      </c>
      <c r="BR170" s="546">
        <f t="shared" ref="BR170:BR210" si="270">Rdcr_sec*BB170^2</f>
        <v>1.5737008714176826E-2</v>
      </c>
      <c r="BS170" s="546">
        <f t="shared" ref="BS170:BS210" si="271">Rdcr_sec2*BC170^2</f>
        <v>2.5483444396737207E-2</v>
      </c>
      <c r="BT170" s="546">
        <f t="shared" ref="BT170:BT210" si="272">AI170^2.5*AM170^2.5*k_core</f>
        <v>1.3926862161630825E-2</v>
      </c>
      <c r="BU170" s="546"/>
      <c r="BV170" s="656">
        <f t="shared" si="250"/>
        <v>2.5058902575587905E-2</v>
      </c>
      <c r="BW170" s="472">
        <f t="shared" ref="BW170:BW192" si="273">SUM(BQ170:BV170)*1000</f>
        <v>118.36846398001158</v>
      </c>
      <c r="BX170" s="179">
        <f t="shared" ref="BX170:BX192" si="274">SUM(BE170:BI170,BL170:BO170,BQ170:BV170)</f>
        <v>0.29447013706594</v>
      </c>
      <c r="BY170" s="6">
        <f t="shared" ref="BY170:BY192" si="275">MIN(H170+I170,O170+P170)</f>
        <v>3.024</v>
      </c>
      <c r="BZ170" s="179">
        <f t="shared" ref="BZ170:BZ192" si="276">BY170/(BY170+BX170)</f>
        <v>0.91126328551918245</v>
      </c>
      <c r="CA170" s="6">
        <f t="shared" ref="CA170:CA192" si="277">BZ170*100</f>
        <v>91.126328551918249</v>
      </c>
      <c r="CB170">
        <f t="shared" ref="CB170:CB192" si="278">F170/Iout*100</f>
        <v>60</v>
      </c>
      <c r="CD170" s="581">
        <f t="shared" si="251"/>
        <v>-50</v>
      </c>
      <c r="CE170">
        <f t="shared" si="252"/>
        <v>-50</v>
      </c>
    </row>
    <row r="171" spans="5:83" x14ac:dyDescent="0.2">
      <c r="E171" s="176">
        <v>61</v>
      </c>
      <c r="F171" s="223">
        <f t="shared" si="253"/>
        <v>6.7099999999999993E-2</v>
      </c>
      <c r="G171" s="223">
        <f t="shared" si="234"/>
        <v>0.122</v>
      </c>
      <c r="H171" s="223">
        <f t="shared" si="235"/>
        <v>1.6103999999999998</v>
      </c>
      <c r="I171" s="223">
        <f t="shared" si="236"/>
        <v>1.464</v>
      </c>
      <c r="J171" s="559">
        <f t="shared" si="171"/>
        <v>10</v>
      </c>
      <c r="K171" s="454">
        <f t="shared" si="172"/>
        <v>24.25</v>
      </c>
      <c r="L171" s="454">
        <f t="shared" si="173"/>
        <v>34.25</v>
      </c>
      <c r="M171" s="454"/>
      <c r="N171" s="223">
        <f t="shared" si="174"/>
        <v>0.70802919708029199</v>
      </c>
      <c r="O171" s="178">
        <f t="shared" si="237"/>
        <v>2.5543839068474097</v>
      </c>
      <c r="P171" s="178">
        <f t="shared" si="238"/>
        <v>4.4332282680822832</v>
      </c>
      <c r="Q171" s="223">
        <f t="shared" si="177"/>
        <v>0.10643266278530873</v>
      </c>
      <c r="R171" s="223">
        <f t="shared" si="239"/>
        <v>0.21286532557061746</v>
      </c>
      <c r="S171" s="223">
        <f t="shared" si="240"/>
        <v>24</v>
      </c>
      <c r="T171" s="223">
        <f t="shared" si="241"/>
        <v>0.91414606619641881</v>
      </c>
      <c r="U171" s="223">
        <f t="shared" si="181"/>
        <v>4.2964865111231685</v>
      </c>
      <c r="V171" s="223">
        <f t="shared" si="182"/>
        <v>1.7717470148961518</v>
      </c>
      <c r="W171" s="203">
        <f t="shared" si="183"/>
        <v>350</v>
      </c>
      <c r="X171" s="454">
        <f t="shared" si="184"/>
        <v>164.79260326950316</v>
      </c>
      <c r="Z171" s="223">
        <f t="shared" si="185"/>
        <v>0.43041288576309544</v>
      </c>
      <c r="AA171" s="179">
        <f t="shared" si="186"/>
        <v>0.83420229405630864</v>
      </c>
      <c r="AB171" s="179">
        <f t="shared" si="242"/>
        <v>3.2913046530372254E-2</v>
      </c>
      <c r="AC171" s="179"/>
      <c r="AD171" s="179">
        <f t="shared" si="188"/>
        <v>0.56206185567010303</v>
      </c>
      <c r="AE171" s="563">
        <f t="shared" si="243"/>
        <v>823.32329799883632</v>
      </c>
      <c r="AF171" s="546">
        <f t="shared" si="244"/>
        <v>2.8524639175257726E-2</v>
      </c>
      <c r="AH171" s="179">
        <f t="shared" si="245"/>
        <v>0.61138141453805517</v>
      </c>
      <c r="AI171" s="179">
        <f t="shared" si="246"/>
        <v>0.91414606619641881</v>
      </c>
      <c r="AJ171" s="179">
        <f t="shared" si="247"/>
        <v>1.6623304194047548</v>
      </c>
      <c r="AL171" s="563">
        <f t="shared" si="248"/>
        <v>67.099999999999994</v>
      </c>
      <c r="AM171" s="472">
        <f t="shared" si="249"/>
        <v>164.79260326950316</v>
      </c>
      <c r="AO171">
        <f t="shared" si="196"/>
        <v>67.099999999999994</v>
      </c>
      <c r="AP171">
        <f t="shared" si="197"/>
        <v>164.79260326950316</v>
      </c>
      <c r="AR171" s="6">
        <f t="shared" si="233"/>
        <v>6.068233526019319</v>
      </c>
      <c r="AS171" s="6">
        <f t="shared" si="230"/>
        <v>4.2964865111231685</v>
      </c>
      <c r="AT171" s="6">
        <f t="shared" si="231"/>
        <v>1.7717470148961505</v>
      </c>
      <c r="AU171" s="179">
        <f t="shared" si="232"/>
        <v>0.70802919708029211</v>
      </c>
      <c r="AW171" s="6">
        <f t="shared" si="254"/>
        <v>1.201226020401519</v>
      </c>
      <c r="AX171" s="6">
        <f t="shared" si="255"/>
        <v>4.3680946196418873</v>
      </c>
      <c r="AY171" s="6">
        <f t="shared" si="256"/>
        <v>0.50056515662960699</v>
      </c>
      <c r="AZ171" s="6"/>
      <c r="BA171" s="179">
        <f t="shared" si="257"/>
        <v>0.44409977272493029</v>
      </c>
      <c r="BB171" s="179">
        <f t="shared" si="258"/>
        <v>0.28518368696881607</v>
      </c>
      <c r="BC171" s="179">
        <f t="shared" si="259"/>
        <v>0.51322481699397338</v>
      </c>
      <c r="BD171" s="179"/>
      <c r="BE171" s="546">
        <f t="shared" si="260"/>
        <v>6.9028612847017154E-2</v>
      </c>
      <c r="BF171" s="546">
        <f t="shared" si="261"/>
        <v>3.8696808510638295E-2</v>
      </c>
      <c r="BG171" s="546">
        <f t="shared" si="262"/>
        <v>2.0599075408687896E-3</v>
      </c>
      <c r="BH171" s="546">
        <f t="shared" si="263"/>
        <v>9.6656011586415767E-3</v>
      </c>
      <c r="BI171">
        <f t="shared" si="264"/>
        <v>2.8999999999999998E-3</v>
      </c>
      <c r="BK171" s="472">
        <f t="shared" si="265"/>
        <v>122.35093005716583</v>
      </c>
      <c r="BL171" s="179">
        <f t="shared" si="266"/>
        <v>2.0129999999999999E-2</v>
      </c>
      <c r="BM171" s="179">
        <f t="shared" si="267"/>
        <v>3.6600000000000001E-2</v>
      </c>
      <c r="BN171" s="546"/>
      <c r="BP171" s="472">
        <f t="shared" si="268"/>
        <v>56.730000000000004</v>
      </c>
      <c r="BQ171" s="546">
        <f t="shared" si="269"/>
        <v>3.9444921626866948E-2</v>
      </c>
      <c r="BR171" s="546">
        <f t="shared" si="270"/>
        <v>1.6265947062625536E-2</v>
      </c>
      <c r="BS171" s="546">
        <f t="shared" si="271"/>
        <v>2.6339971277849747E-2</v>
      </c>
      <c r="BT171" s="546">
        <f t="shared" si="272"/>
        <v>1.3926862161630821E-2</v>
      </c>
      <c r="BU171" s="546"/>
      <c r="BV171" s="656">
        <f t="shared" si="250"/>
        <v>2.5476550951847702E-2</v>
      </c>
      <c r="BW171" s="472">
        <f t="shared" si="273"/>
        <v>121.45425308082075</v>
      </c>
      <c r="BX171" s="179">
        <f t="shared" si="274"/>
        <v>0.30053518313798655</v>
      </c>
      <c r="BY171" s="6">
        <f t="shared" si="275"/>
        <v>3.0743999999999998</v>
      </c>
      <c r="BZ171" s="179">
        <f t="shared" si="276"/>
        <v>0.91095082814048256</v>
      </c>
      <c r="CA171" s="6">
        <f t="shared" si="277"/>
        <v>91.095082814048254</v>
      </c>
      <c r="CB171">
        <f t="shared" si="278"/>
        <v>61</v>
      </c>
      <c r="CD171" s="581">
        <f t="shared" si="251"/>
        <v>-50</v>
      </c>
      <c r="CE171">
        <f t="shared" si="252"/>
        <v>-50</v>
      </c>
    </row>
    <row r="172" spans="5:83" x14ac:dyDescent="0.2">
      <c r="E172" s="176">
        <v>62</v>
      </c>
      <c r="F172" s="223">
        <f t="shared" si="253"/>
        <v>6.8199999999999997E-2</v>
      </c>
      <c r="G172" s="223">
        <f t="shared" si="234"/>
        <v>0.124</v>
      </c>
      <c r="H172" s="223">
        <f t="shared" si="235"/>
        <v>1.6368</v>
      </c>
      <c r="I172" s="223">
        <f t="shared" si="236"/>
        <v>1.488</v>
      </c>
      <c r="J172" s="559">
        <f t="shared" si="171"/>
        <v>10</v>
      </c>
      <c r="K172" s="454">
        <f t="shared" si="172"/>
        <v>24.25</v>
      </c>
      <c r="L172" s="454">
        <f t="shared" si="173"/>
        <v>34.25</v>
      </c>
      <c r="M172" s="454"/>
      <c r="N172" s="223">
        <f t="shared" si="174"/>
        <v>0.70802919708029199</v>
      </c>
      <c r="O172" s="178">
        <f t="shared" si="237"/>
        <v>2.5543839068474097</v>
      </c>
      <c r="P172" s="178">
        <f t="shared" si="238"/>
        <v>4.4332282680822832</v>
      </c>
      <c r="Q172" s="223">
        <f t="shared" si="177"/>
        <v>0.10643266278530873</v>
      </c>
      <c r="R172" s="223">
        <f t="shared" si="239"/>
        <v>0.21286532557061746</v>
      </c>
      <c r="S172" s="223">
        <f t="shared" si="240"/>
        <v>24</v>
      </c>
      <c r="T172" s="223">
        <f t="shared" si="241"/>
        <v>0.92913206728160602</v>
      </c>
      <c r="U172" s="223">
        <f t="shared" si="181"/>
        <v>4.3669207162235475</v>
      </c>
      <c r="V172" s="223">
        <f t="shared" si="182"/>
        <v>1.8007920479272361</v>
      </c>
      <c r="W172" s="203">
        <f t="shared" si="183"/>
        <v>350</v>
      </c>
      <c r="X172" s="454">
        <f t="shared" si="184"/>
        <v>162.13465805547892</v>
      </c>
      <c r="Z172" s="223">
        <f t="shared" si="185"/>
        <v>0.43041288576309544</v>
      </c>
      <c r="AA172" s="179">
        <f t="shared" si="186"/>
        <v>0.83420229405630864</v>
      </c>
      <c r="AB172" s="179">
        <f t="shared" si="242"/>
        <v>3.2913046530372254E-2</v>
      </c>
      <c r="AC172" s="179"/>
      <c r="AD172" s="179">
        <f t="shared" si="188"/>
        <v>0.56206185567010303</v>
      </c>
      <c r="AE172" s="563">
        <f t="shared" si="243"/>
        <v>836.82040124471894</v>
      </c>
      <c r="AF172" s="546">
        <f t="shared" si="244"/>
        <v>2.8524639175257726E-2</v>
      </c>
      <c r="AH172" s="179">
        <f t="shared" si="245"/>
        <v>0.6163723660394107</v>
      </c>
      <c r="AI172" s="179">
        <f t="shared" si="246"/>
        <v>0.92913206728160602</v>
      </c>
      <c r="AJ172" s="179">
        <f t="shared" si="247"/>
        <v>1.6734311609493377</v>
      </c>
      <c r="AL172" s="563">
        <f t="shared" si="248"/>
        <v>68.2</v>
      </c>
      <c r="AM172" s="472">
        <f t="shared" si="249"/>
        <v>162.13465805547892</v>
      </c>
      <c r="AO172">
        <f t="shared" si="196"/>
        <v>68.2</v>
      </c>
      <c r="AP172">
        <f t="shared" si="197"/>
        <v>162.13465805547892</v>
      </c>
      <c r="AR172" s="6">
        <f t="shared" si="233"/>
        <v>6.1677127641507834</v>
      </c>
      <c r="AS172" s="6">
        <f t="shared" si="230"/>
        <v>4.3669207162235475</v>
      </c>
      <c r="AT172" s="6">
        <f t="shared" si="231"/>
        <v>1.8007920479272359</v>
      </c>
      <c r="AU172" s="179">
        <f t="shared" si="232"/>
        <v>0.70802919708029199</v>
      </c>
      <c r="AW172" s="6">
        <f t="shared" si="254"/>
        <v>1.2409333035268582</v>
      </c>
      <c r="AX172" s="6">
        <f t="shared" si="255"/>
        <v>4.5124847400976655</v>
      </c>
      <c r="AY172" s="6">
        <f t="shared" si="256"/>
        <v>0.51711165334163145</v>
      </c>
      <c r="AZ172" s="6"/>
      <c r="BA172" s="179">
        <f t="shared" si="257"/>
        <v>0.45138009686796193</v>
      </c>
      <c r="BB172" s="179">
        <f t="shared" si="258"/>
        <v>0.289858829378141</v>
      </c>
      <c r="BC172" s="179">
        <f t="shared" si="259"/>
        <v>0.52163833858403852</v>
      </c>
      <c r="BD172" s="179"/>
      <c r="BE172" s="546">
        <f t="shared" si="260"/>
        <v>7.1310397146985741E-2</v>
      </c>
      <c r="BF172" s="546">
        <f t="shared" si="261"/>
        <v>3.8696808510638302E-2</v>
      </c>
      <c r="BG172" s="546">
        <f t="shared" si="262"/>
        <v>2.0266832256934861E-3</v>
      </c>
      <c r="BH172" s="546">
        <f t="shared" si="263"/>
        <v>9.5097043657602631E-3</v>
      </c>
      <c r="BI172">
        <f t="shared" si="264"/>
        <v>2.8999999999999998E-3</v>
      </c>
      <c r="BK172" s="472">
        <f t="shared" si="265"/>
        <v>124.44359324907779</v>
      </c>
      <c r="BL172" s="179">
        <f t="shared" si="266"/>
        <v>2.0459999999999999E-2</v>
      </c>
      <c r="BM172" s="179">
        <f t="shared" si="267"/>
        <v>3.7199999999999997E-2</v>
      </c>
      <c r="BN172" s="546"/>
      <c r="BP172" s="472">
        <f t="shared" si="268"/>
        <v>57.66</v>
      </c>
      <c r="BQ172" s="546">
        <f t="shared" si="269"/>
        <v>4.0748798369706143E-2</v>
      </c>
      <c r="BR172" s="546">
        <f t="shared" si="270"/>
        <v>1.6803628193693253E-2</v>
      </c>
      <c r="BS172" s="546">
        <f t="shared" si="271"/>
        <v>2.7210655628071602E-2</v>
      </c>
      <c r="BT172" s="546">
        <f t="shared" si="272"/>
        <v>1.3926862161630834E-2</v>
      </c>
      <c r="BU172" s="546"/>
      <c r="BV172" s="656">
        <f t="shared" si="250"/>
        <v>2.5894199328107506E-2</v>
      </c>
      <c r="BW172" s="472">
        <f t="shared" si="273"/>
        <v>124.58414368120933</v>
      </c>
      <c r="BX172" s="179">
        <f t="shared" si="274"/>
        <v>0.30668773693028711</v>
      </c>
      <c r="BY172" s="6">
        <f t="shared" si="275"/>
        <v>3.1248</v>
      </c>
      <c r="BZ172" s="179">
        <f t="shared" si="276"/>
        <v>0.91062543117095873</v>
      </c>
      <c r="CA172" s="6">
        <f t="shared" si="277"/>
        <v>91.062543117095871</v>
      </c>
      <c r="CB172">
        <f t="shared" si="278"/>
        <v>62</v>
      </c>
      <c r="CD172" s="581">
        <f t="shared" si="251"/>
        <v>-50</v>
      </c>
      <c r="CE172">
        <f t="shared" si="252"/>
        <v>-50</v>
      </c>
    </row>
    <row r="173" spans="5:83" x14ac:dyDescent="0.2">
      <c r="E173" s="176">
        <v>63</v>
      </c>
      <c r="F173" s="223">
        <f t="shared" si="253"/>
        <v>6.93E-2</v>
      </c>
      <c r="G173" s="223">
        <f t="shared" si="234"/>
        <v>0.126</v>
      </c>
      <c r="H173" s="223">
        <f t="shared" si="235"/>
        <v>1.6632</v>
      </c>
      <c r="I173" s="223">
        <f t="shared" si="236"/>
        <v>1.512</v>
      </c>
      <c r="J173" s="559">
        <f t="shared" si="171"/>
        <v>10</v>
      </c>
      <c r="K173" s="454">
        <f t="shared" si="172"/>
        <v>24.25</v>
      </c>
      <c r="L173" s="454">
        <f t="shared" si="173"/>
        <v>34.25</v>
      </c>
      <c r="M173" s="454"/>
      <c r="N173" s="223">
        <f t="shared" si="174"/>
        <v>0.70802919708029199</v>
      </c>
      <c r="O173" s="178">
        <f t="shared" si="237"/>
        <v>2.5543839068474097</v>
      </c>
      <c r="P173" s="178">
        <f t="shared" si="238"/>
        <v>4.4332282680822832</v>
      </c>
      <c r="Q173" s="223">
        <f t="shared" si="177"/>
        <v>0.10643266278530873</v>
      </c>
      <c r="R173" s="223">
        <f t="shared" si="239"/>
        <v>0.21286532557061746</v>
      </c>
      <c r="S173" s="223">
        <f t="shared" si="240"/>
        <v>24</v>
      </c>
      <c r="T173" s="223">
        <f t="shared" si="241"/>
        <v>0.94411806836679335</v>
      </c>
      <c r="U173" s="223">
        <f t="shared" si="181"/>
        <v>4.4373549213239283</v>
      </c>
      <c r="V173" s="223">
        <f t="shared" si="182"/>
        <v>1.8298370809583209</v>
      </c>
      <c r="W173" s="203">
        <f t="shared" si="183"/>
        <v>350</v>
      </c>
      <c r="X173" s="454">
        <f t="shared" si="184"/>
        <v>159.56109205459828</v>
      </c>
      <c r="Z173" s="223">
        <f t="shared" si="185"/>
        <v>0.43041288576309544</v>
      </c>
      <c r="AA173" s="179">
        <f t="shared" si="186"/>
        <v>0.83420229405630864</v>
      </c>
      <c r="AB173" s="179">
        <f t="shared" si="242"/>
        <v>3.2913046530372254E-2</v>
      </c>
      <c r="AC173" s="179"/>
      <c r="AD173" s="179">
        <f t="shared" si="188"/>
        <v>0.56206185567010303</v>
      </c>
      <c r="AE173" s="563">
        <f t="shared" si="243"/>
        <v>850.31750449060155</v>
      </c>
      <c r="AF173" s="546">
        <f t="shared" si="244"/>
        <v>2.8524639175257726E-2</v>
      </c>
      <c r="AH173" s="179">
        <f t="shared" si="245"/>
        <v>0.62132322762913783</v>
      </c>
      <c r="AI173" s="179">
        <f t="shared" si="246"/>
        <v>0.94411806836679335</v>
      </c>
      <c r="AJ173" s="179">
        <f t="shared" si="247"/>
        <v>1.6845319024939209</v>
      </c>
      <c r="AL173" s="563">
        <f t="shared" si="248"/>
        <v>69.3</v>
      </c>
      <c r="AM173" s="472">
        <f t="shared" si="249"/>
        <v>159.56109205459828</v>
      </c>
      <c r="AO173">
        <f t="shared" si="196"/>
        <v>69.3</v>
      </c>
      <c r="AP173">
        <f t="shared" si="197"/>
        <v>159.56109205459828</v>
      </c>
      <c r="AR173" s="6">
        <f t="shared" si="233"/>
        <v>6.2671920022822487</v>
      </c>
      <c r="AS173" s="6">
        <f t="shared" si="230"/>
        <v>4.4373549213239283</v>
      </c>
      <c r="AT173" s="6">
        <f t="shared" si="231"/>
        <v>1.8298370809583204</v>
      </c>
      <c r="AU173" s="179">
        <f t="shared" si="232"/>
        <v>0.70802919708029199</v>
      </c>
      <c r="AW173" s="6">
        <f t="shared" si="254"/>
        <v>1.2812862335322841</v>
      </c>
      <c r="AX173" s="6">
        <f t="shared" si="255"/>
        <v>4.6592226673901243</v>
      </c>
      <c r="AY173" s="6">
        <f t="shared" si="256"/>
        <v>0.5339271987806804</v>
      </c>
      <c r="AZ173" s="6"/>
      <c r="BA173" s="179">
        <f t="shared" si="257"/>
        <v>0.45866042101099364</v>
      </c>
      <c r="BB173" s="179">
        <f t="shared" si="258"/>
        <v>0.29453397178746588</v>
      </c>
      <c r="BC173" s="179">
        <f t="shared" si="259"/>
        <v>0.53005186017410377</v>
      </c>
      <c r="BD173" s="179"/>
      <c r="BE173" s="546">
        <f t="shared" si="260"/>
        <v>7.3629283630693668E-2</v>
      </c>
      <c r="BF173" s="546">
        <f t="shared" si="261"/>
        <v>3.8696808510638295E-2</v>
      </c>
      <c r="BG173" s="546">
        <f t="shared" si="262"/>
        <v>1.9945136506824787E-3</v>
      </c>
      <c r="BH173" s="546">
        <f t="shared" si="263"/>
        <v>9.3587566774148596E-3</v>
      </c>
      <c r="BI173">
        <f t="shared" si="264"/>
        <v>2.8999999999999998E-3</v>
      </c>
      <c r="BK173" s="472">
        <f t="shared" si="265"/>
        <v>126.5793624694293</v>
      </c>
      <c r="BL173" s="179">
        <f t="shared" si="266"/>
        <v>2.0789999999999999E-2</v>
      </c>
      <c r="BM173" s="179">
        <f t="shared" si="267"/>
        <v>3.78E-2</v>
      </c>
      <c r="BN173" s="546"/>
      <c r="BP173" s="472">
        <f t="shared" si="268"/>
        <v>58.59</v>
      </c>
      <c r="BQ173" s="546">
        <f t="shared" si="269"/>
        <v>4.2073876360396389E-2</v>
      </c>
      <c r="BR173" s="546">
        <f t="shared" si="270"/>
        <v>1.735005210737995E-2</v>
      </c>
      <c r="BS173" s="546">
        <f t="shared" si="271"/>
        <v>2.8095497447402768E-2</v>
      </c>
      <c r="BT173" s="546">
        <f t="shared" si="272"/>
        <v>1.3926862161630848E-2</v>
      </c>
      <c r="BU173" s="546"/>
      <c r="BV173" s="656">
        <f t="shared" si="250"/>
        <v>2.631184770436731E-2</v>
      </c>
      <c r="BW173" s="472">
        <f t="shared" si="273"/>
        <v>127.75813578117726</v>
      </c>
      <c r="BX173" s="179">
        <f t="shared" si="274"/>
        <v>0.31292749825060656</v>
      </c>
      <c r="BY173" s="6">
        <f t="shared" si="275"/>
        <v>3.1752000000000002</v>
      </c>
      <c r="BZ173" s="179">
        <f t="shared" si="276"/>
        <v>0.9102878268046255</v>
      </c>
      <c r="CA173" s="6">
        <f t="shared" si="277"/>
        <v>91.028782680462555</v>
      </c>
      <c r="CB173">
        <f t="shared" si="278"/>
        <v>63</v>
      </c>
      <c r="CD173" s="581">
        <f t="shared" si="251"/>
        <v>-50</v>
      </c>
      <c r="CE173">
        <f t="shared" si="252"/>
        <v>-50</v>
      </c>
    </row>
    <row r="174" spans="5:83" x14ac:dyDescent="0.2">
      <c r="E174" s="176">
        <v>64</v>
      </c>
      <c r="F174" s="223">
        <f t="shared" si="253"/>
        <v>7.0400000000000004E-2</v>
      </c>
      <c r="G174" s="223">
        <f t="shared" ref="G174:G210" si="279">IF(PLOT_TYPE=1, E174/100*Iout2, min_I*EXP(Q174*rr/100))</f>
        <v>0.128</v>
      </c>
      <c r="H174" s="223">
        <f t="shared" ref="H174:H210" si="280">F174*Vout</f>
        <v>1.6896</v>
      </c>
      <c r="I174" s="223">
        <f t="shared" ref="I174:I210" si="281">Vout2*G174</f>
        <v>1.536</v>
      </c>
      <c r="J174" s="559">
        <f t="shared" ref="J174:J210" si="282">VIN_min</f>
        <v>10</v>
      </c>
      <c r="K174" s="454">
        <f t="shared" ref="K174:K210" si="283">(S174+Vfwd1)*Nps</f>
        <v>24.25</v>
      </c>
      <c r="L174" s="454">
        <f t="shared" ref="L174:L210" si="284">(Vout+Vfwd1)*Nps+J174</f>
        <v>34.25</v>
      </c>
      <c r="M174" s="454"/>
      <c r="N174" s="223">
        <f t="shared" ref="N174:N210" si="285">(Vout+Vfwd1)*Nps/((Vout+Vfwd1)*Nps+J174)</f>
        <v>0.70802919708029199</v>
      </c>
      <c r="O174" s="178">
        <f t="shared" ref="O174:O205" si="286">N174*J174*Isw_max*0.5*Efficiency*Pout/(Pout+Pout2)</f>
        <v>2.5543839068474097</v>
      </c>
      <c r="P174" s="178">
        <f t="shared" ref="P174:P210" si="287">N174*J174*Isw_max*0.5*Efficiency*(Pout2/Pout_total)</f>
        <v>4.4332282680822832</v>
      </c>
      <c r="Q174" s="223">
        <f t="shared" ref="Q174:Q210" si="288">O174/Vout</f>
        <v>0.10643266278530873</v>
      </c>
      <c r="R174" s="223">
        <f t="shared" ref="R174:R210" si="289">O174/Vout2</f>
        <v>0.21286532557061746</v>
      </c>
      <c r="S174" s="223">
        <f t="shared" ref="S174:S210" si="290">MIN(Vout,O174/F174)</f>
        <v>24</v>
      </c>
      <c r="T174" s="223">
        <f t="shared" ref="T174:T210" si="291">MIN(2*(Vout*F174+Vout2*G174)/(Efficiency*J174*N174), Isw_max)</f>
        <v>0.95910406945198046</v>
      </c>
      <c r="U174" s="223">
        <f t="shared" ref="U174:U210" si="292">L*T174/J174*1000000</f>
        <v>4.5077891264243082</v>
      </c>
      <c r="V174" s="223">
        <f t="shared" ref="V174:V210" si="293">L*T174/K174*1000000</f>
        <v>1.8588821139894054</v>
      </c>
      <c r="W174" s="203">
        <f t="shared" ref="W174:W210" si="294">IF(1/((350000*L)*(1/J174+1/K174))&gt;Isw_min, 350, 0.001/((Isw_min*L)*(1/J174+1/K174)))</f>
        <v>350</v>
      </c>
      <c r="X174" s="454">
        <f t="shared" ref="X174:X210" si="295">MIN(1/(U174+V174)*1000, 350)</f>
        <v>157.06794999124514</v>
      </c>
      <c r="Z174" s="223">
        <f t="shared" ref="Z174:Z210" si="296">1/((W174*1000*L)*(1/J174+1/K174))</f>
        <v>0.43041288576309544</v>
      </c>
      <c r="AA174" s="179">
        <f t="shared" ref="AA174:AA210" si="297">L*Z174/K174*1000000</f>
        <v>0.83420229405630864</v>
      </c>
      <c r="AB174" s="179">
        <f t="shared" ref="AB174:AB205" si="298">0.5*AA174*Z174*Nps*W174/1000*(Pout/(Pout+Pout2))</f>
        <v>3.2913046530372254E-2</v>
      </c>
      <c r="AC174" s="179"/>
      <c r="AD174" s="179">
        <f t="shared" ref="AD174:AD210" si="299">L*Isw_min/K174*1000000</f>
        <v>0.56206185567010303</v>
      </c>
      <c r="AE174" s="563">
        <f t="shared" ref="AE174:AE205" si="300">MAX(10, F174/(0.5*AD174/1000000*Isw_min*Nps)/1000*Pout_total/Pout)</f>
        <v>863.81460773648405</v>
      </c>
      <c r="AF174" s="546">
        <f t="shared" ref="AF174:AF210" si="301">0.5*AD174/1000000*Isw_min*Nps*W174*1000*(Pout/Pout_total)</f>
        <v>2.8524639175257726E-2</v>
      </c>
      <c r="AH174" s="179">
        <f t="shared" ref="AH174:AH210" si="302">SQRT((H174+I174)/(0.5*L*Fsw_DCM))</f>
        <v>0.62623495013130459</v>
      </c>
      <c r="AI174" s="179">
        <f t="shared" ref="AI174:AI205" si="303">MAX(IF(F174&gt;AB174,T174,AH174),Isw_min)</f>
        <v>0.95910406945198046</v>
      </c>
      <c r="AJ174" s="179">
        <f t="shared" ref="AJ174:AJ205" si="304">IF(F174&gt;AF174, (AI174-Isw_min)/1.08*0.8+1.2, AE174*0.2/350+1)</f>
        <v>1.6956326440385041</v>
      </c>
      <c r="AL174" s="563">
        <f t="shared" ref="AL174:AL210" si="305">F174*1000</f>
        <v>70.400000000000006</v>
      </c>
      <c r="AM174" s="472">
        <f t="shared" ref="AM174:AM210" si="306">IF(F174&gt;AF174, X174, AE174)</f>
        <v>157.06794999124514</v>
      </c>
      <c r="AO174">
        <f t="shared" ref="AO174:AO210" si="307">IF(H174&gt;O174, "",AL174)</f>
        <v>70.400000000000006</v>
      </c>
      <c r="AP174">
        <f t="shared" ref="AP174:AP210" si="308">IF(H174&gt;O174, "",AM174)</f>
        <v>157.06794999124514</v>
      </c>
      <c r="AR174" s="6">
        <f t="shared" si="233"/>
        <v>6.3666712404137149</v>
      </c>
      <c r="AS174" s="6">
        <f t="shared" si="230"/>
        <v>4.5077891264243082</v>
      </c>
      <c r="AT174" s="6">
        <f t="shared" si="231"/>
        <v>1.8588821139894067</v>
      </c>
      <c r="AU174" s="179">
        <f t="shared" si="232"/>
        <v>0.70802919708029177</v>
      </c>
      <c r="AW174" s="6">
        <f t="shared" si="254"/>
        <v>1.3222848104177973</v>
      </c>
      <c r="AX174" s="6">
        <f t="shared" si="255"/>
        <v>4.8083084015192625</v>
      </c>
      <c r="AY174" s="6">
        <f t="shared" si="256"/>
        <v>0.55101179294675462</v>
      </c>
      <c r="AZ174" s="6"/>
      <c r="BA174" s="179">
        <f t="shared" si="257"/>
        <v>0.46594074515402517</v>
      </c>
      <c r="BB174" s="179">
        <f t="shared" si="258"/>
        <v>0.2992091141967908</v>
      </c>
      <c r="BC174" s="179">
        <f t="shared" si="259"/>
        <v>0.53846538176416914</v>
      </c>
      <c r="BD174" s="179"/>
      <c r="BE174" s="546">
        <f t="shared" si="260"/>
        <v>7.598527229814088E-2</v>
      </c>
      <c r="BF174" s="546">
        <f t="shared" si="261"/>
        <v>3.8696808510638288E-2</v>
      </c>
      <c r="BG174" s="546">
        <f t="shared" si="262"/>
        <v>1.963349374890564E-3</v>
      </c>
      <c r="BH174" s="546">
        <f t="shared" si="263"/>
        <v>9.2125261043302514E-3</v>
      </c>
      <c r="BI174">
        <f t="shared" si="264"/>
        <v>2.8999999999999998E-3</v>
      </c>
      <c r="BK174" s="472">
        <f t="shared" si="265"/>
        <v>128.75795628800003</v>
      </c>
      <c r="BL174" s="179">
        <f t="shared" si="266"/>
        <v>2.112E-2</v>
      </c>
      <c r="BM174" s="179">
        <f t="shared" si="267"/>
        <v>3.8399999999999997E-2</v>
      </c>
      <c r="BN174" s="546"/>
      <c r="BP174" s="472">
        <f t="shared" si="268"/>
        <v>59.519999999999996</v>
      </c>
      <c r="BQ174" s="546">
        <f t="shared" si="269"/>
        <v>4.3420155598937651E-2</v>
      </c>
      <c r="BR174" s="546">
        <f t="shared" si="270"/>
        <v>1.7905218803685643E-2</v>
      </c>
      <c r="BS174" s="546">
        <f t="shared" si="271"/>
        <v>2.8994496735843242E-2</v>
      </c>
      <c r="BT174" s="546">
        <f t="shared" si="272"/>
        <v>1.392686216163083E-2</v>
      </c>
      <c r="BU174" s="546"/>
      <c r="BV174" s="656">
        <f t="shared" ref="BV174:BV210" si="309">0.5*Lleak*0.000000001*AI174^2*AM174*1000</f>
        <v>2.6729496080627097E-2</v>
      </c>
      <c r="BW174" s="472">
        <f t="shared" si="273"/>
        <v>130.97622938072448</v>
      </c>
      <c r="BX174" s="179">
        <f t="shared" si="274"/>
        <v>0.31925418566872443</v>
      </c>
      <c r="BY174" s="6">
        <f t="shared" si="275"/>
        <v>3.2256</v>
      </c>
      <c r="BZ174" s="179">
        <f t="shared" si="276"/>
        <v>0.90993869734912713</v>
      </c>
      <c r="CA174" s="6">
        <f t="shared" si="277"/>
        <v>90.993869734912707</v>
      </c>
      <c r="CB174">
        <f t="shared" si="278"/>
        <v>64</v>
      </c>
      <c r="CD174" s="581">
        <f t="shared" ref="CD174:CD210" si="310">IF(ABS(F174-Ioutmax_Vinmin)&lt;Iout/200, AM174, -50)</f>
        <v>-50</v>
      </c>
      <c r="CE174">
        <f t="shared" ref="CE174:CE210" si="311">IF(ABS(F174-Ioutmax_Vinmin)&lt;Iout/200, (O174+P174)*BZ174, -50)</f>
        <v>-50</v>
      </c>
    </row>
    <row r="175" spans="5:83" x14ac:dyDescent="0.2">
      <c r="E175" s="176">
        <v>65</v>
      </c>
      <c r="F175" s="223">
        <f t="shared" ref="F175:F206" si="312">IF(PLOT_TYPE=1, E175/100*Iout_max, min_I*EXP(O175*rr/100))</f>
        <v>7.1500000000000008E-2</v>
      </c>
      <c r="G175" s="223">
        <f t="shared" si="279"/>
        <v>0.13</v>
      </c>
      <c r="H175" s="223">
        <f t="shared" si="280"/>
        <v>1.7160000000000002</v>
      </c>
      <c r="I175" s="223">
        <f t="shared" si="281"/>
        <v>1.56</v>
      </c>
      <c r="J175" s="559">
        <f t="shared" si="282"/>
        <v>10</v>
      </c>
      <c r="K175" s="454">
        <f t="shared" si="283"/>
        <v>24.25</v>
      </c>
      <c r="L175" s="454">
        <f t="shared" si="284"/>
        <v>34.25</v>
      </c>
      <c r="M175" s="454"/>
      <c r="N175" s="223">
        <f t="shared" si="285"/>
        <v>0.70802919708029199</v>
      </c>
      <c r="O175" s="178">
        <f t="shared" si="286"/>
        <v>2.5543839068474097</v>
      </c>
      <c r="P175" s="178">
        <f t="shared" si="287"/>
        <v>4.4332282680822832</v>
      </c>
      <c r="Q175" s="223">
        <f t="shared" si="288"/>
        <v>0.10643266278530873</v>
      </c>
      <c r="R175" s="223">
        <f t="shared" si="289"/>
        <v>0.21286532557061746</v>
      </c>
      <c r="S175" s="223">
        <f t="shared" si="290"/>
        <v>24</v>
      </c>
      <c r="T175" s="223">
        <f t="shared" si="291"/>
        <v>0.97409007053716767</v>
      </c>
      <c r="U175" s="223">
        <f t="shared" si="292"/>
        <v>4.5782233315246881</v>
      </c>
      <c r="V175" s="223">
        <f t="shared" si="293"/>
        <v>1.8879271470204897</v>
      </c>
      <c r="W175" s="203">
        <f t="shared" si="294"/>
        <v>350</v>
      </c>
      <c r="X175" s="454">
        <f t="shared" si="295"/>
        <v>154.65151999137984</v>
      </c>
      <c r="Z175" s="223">
        <f t="shared" si="296"/>
        <v>0.43041288576309544</v>
      </c>
      <c r="AA175" s="179">
        <f t="shared" si="297"/>
        <v>0.83420229405630864</v>
      </c>
      <c r="AB175" s="179">
        <f t="shared" si="298"/>
        <v>3.2913046530372254E-2</v>
      </c>
      <c r="AC175" s="179"/>
      <c r="AD175" s="179">
        <f t="shared" si="299"/>
        <v>0.56206185567010303</v>
      </c>
      <c r="AE175" s="563">
        <f t="shared" si="300"/>
        <v>877.31171098236689</v>
      </c>
      <c r="AF175" s="546">
        <f t="shared" si="301"/>
        <v>2.8524639175257726E-2</v>
      </c>
      <c r="AH175" s="179">
        <f t="shared" si="302"/>
        <v>0.63110844736893323</v>
      </c>
      <c r="AI175" s="179">
        <f t="shared" si="303"/>
        <v>0.97409007053716767</v>
      </c>
      <c r="AJ175" s="179">
        <f t="shared" si="304"/>
        <v>1.7067333855830871</v>
      </c>
      <c r="AL175" s="563">
        <f t="shared" si="305"/>
        <v>71.500000000000014</v>
      </c>
      <c r="AM175" s="472">
        <f t="shared" si="306"/>
        <v>154.65151999137984</v>
      </c>
      <c r="AO175">
        <f t="shared" si="307"/>
        <v>71.500000000000014</v>
      </c>
      <c r="AP175">
        <f t="shared" si="308"/>
        <v>154.65151999137984</v>
      </c>
      <c r="AR175" s="6">
        <f t="shared" si="233"/>
        <v>6.4661504785451784</v>
      </c>
      <c r="AS175" s="6">
        <f t="shared" si="230"/>
        <v>4.5782233315246881</v>
      </c>
      <c r="AT175" s="6">
        <f t="shared" si="231"/>
        <v>1.8879271470204904</v>
      </c>
      <c r="AU175" s="179">
        <f t="shared" si="232"/>
        <v>0.70802919708029188</v>
      </c>
      <c r="AW175" s="6">
        <f t="shared" si="254"/>
        <v>1.3639290341833967</v>
      </c>
      <c r="AX175" s="6">
        <f t="shared" si="255"/>
        <v>4.9597419424850786</v>
      </c>
      <c r="AY175" s="6">
        <f t="shared" si="256"/>
        <v>0.56836543583985288</v>
      </c>
      <c r="AZ175" s="6"/>
      <c r="BA175" s="179">
        <f t="shared" si="257"/>
        <v>0.47322106929705687</v>
      </c>
      <c r="BB175" s="179">
        <f t="shared" si="258"/>
        <v>0.30388425660611562</v>
      </c>
      <c r="BC175" s="179">
        <f t="shared" si="259"/>
        <v>0.54687890335423417</v>
      </c>
      <c r="BD175" s="179"/>
      <c r="BE175" s="546">
        <f t="shared" si="260"/>
        <v>7.837836314932746E-2</v>
      </c>
      <c r="BF175" s="546">
        <f t="shared" si="261"/>
        <v>3.8696808510638288E-2</v>
      </c>
      <c r="BG175" s="546">
        <f t="shared" si="262"/>
        <v>1.9331439998922478E-3</v>
      </c>
      <c r="BH175" s="546">
        <f t="shared" si="263"/>
        <v>9.0707949334944016E-3</v>
      </c>
      <c r="BI175">
        <f t="shared" si="264"/>
        <v>2.8999999999999998E-3</v>
      </c>
      <c r="BK175" s="472">
        <f t="shared" si="265"/>
        <v>130.97911059335243</v>
      </c>
      <c r="BL175" s="179">
        <f t="shared" si="266"/>
        <v>2.145E-2</v>
      </c>
      <c r="BM175" s="179">
        <f t="shared" si="267"/>
        <v>3.9E-2</v>
      </c>
      <c r="BN175" s="546"/>
      <c r="BP175" s="472">
        <f t="shared" si="268"/>
        <v>60.45</v>
      </c>
      <c r="BQ175" s="546">
        <f t="shared" si="269"/>
        <v>4.4787636085329985E-2</v>
      </c>
      <c r="BR175" s="546">
        <f t="shared" si="270"/>
        <v>1.8469128282610308E-2</v>
      </c>
      <c r="BS175" s="546">
        <f t="shared" si="271"/>
        <v>2.9907653493392979E-2</v>
      </c>
      <c r="BT175" s="546">
        <f t="shared" si="272"/>
        <v>1.3926862161630816E-2</v>
      </c>
      <c r="BU175" s="546"/>
      <c r="BV175" s="656">
        <f t="shared" si="309"/>
        <v>2.7147144456886894E-2</v>
      </c>
      <c r="BW175" s="472">
        <f t="shared" si="273"/>
        <v>134.23842447985098</v>
      </c>
      <c r="BX175" s="179">
        <f t="shared" si="274"/>
        <v>0.3256675350732034</v>
      </c>
      <c r="BY175" s="6">
        <f t="shared" si="275"/>
        <v>3.2760000000000002</v>
      </c>
      <c r="BZ175" s="179">
        <f t="shared" si="276"/>
        <v>0.90957867934731962</v>
      </c>
      <c r="CA175" s="6">
        <f t="shared" si="277"/>
        <v>90.957867934731965</v>
      </c>
      <c r="CB175">
        <f t="shared" si="278"/>
        <v>65</v>
      </c>
      <c r="CD175" s="581">
        <f t="shared" si="310"/>
        <v>-50</v>
      </c>
      <c r="CE175">
        <f t="shared" si="311"/>
        <v>-50</v>
      </c>
    </row>
    <row r="176" spans="5:83" x14ac:dyDescent="0.2">
      <c r="E176" s="176">
        <v>66</v>
      </c>
      <c r="F176" s="223">
        <f t="shared" si="312"/>
        <v>7.2599999999999998E-2</v>
      </c>
      <c r="G176" s="223">
        <f t="shared" si="279"/>
        <v>0.13200000000000001</v>
      </c>
      <c r="H176" s="223">
        <f t="shared" si="280"/>
        <v>1.7423999999999999</v>
      </c>
      <c r="I176" s="223">
        <f t="shared" si="281"/>
        <v>1.5840000000000001</v>
      </c>
      <c r="J176" s="559">
        <f t="shared" si="282"/>
        <v>10</v>
      </c>
      <c r="K176" s="454">
        <f t="shared" si="283"/>
        <v>24.25</v>
      </c>
      <c r="L176" s="454">
        <f t="shared" si="284"/>
        <v>34.25</v>
      </c>
      <c r="M176" s="454"/>
      <c r="N176" s="223">
        <f t="shared" si="285"/>
        <v>0.70802919708029199</v>
      </c>
      <c r="O176" s="178">
        <f t="shared" si="286"/>
        <v>2.5543839068474097</v>
      </c>
      <c r="P176" s="178">
        <f t="shared" si="287"/>
        <v>4.4332282680822832</v>
      </c>
      <c r="Q176" s="223">
        <f t="shared" si="288"/>
        <v>0.10643266278530873</v>
      </c>
      <c r="R176" s="223">
        <f t="shared" si="289"/>
        <v>0.21286532557061746</v>
      </c>
      <c r="S176" s="223">
        <f t="shared" si="290"/>
        <v>24</v>
      </c>
      <c r="T176" s="223">
        <f t="shared" si="291"/>
        <v>0.98907607162235478</v>
      </c>
      <c r="U176" s="223">
        <f t="shared" si="292"/>
        <v>4.6486575366250671</v>
      </c>
      <c r="V176" s="223">
        <f t="shared" si="293"/>
        <v>1.916972180051574</v>
      </c>
      <c r="W176" s="203">
        <f t="shared" si="294"/>
        <v>350</v>
      </c>
      <c r="X176" s="454">
        <f t="shared" si="295"/>
        <v>152.30831514302565</v>
      </c>
      <c r="Z176" s="223">
        <f t="shared" si="296"/>
        <v>0.43041288576309544</v>
      </c>
      <c r="AA176" s="179">
        <f t="shared" si="297"/>
        <v>0.83420229405630864</v>
      </c>
      <c r="AB176" s="179">
        <f t="shared" si="298"/>
        <v>3.2913046530372254E-2</v>
      </c>
      <c r="AC176" s="179"/>
      <c r="AD176" s="179">
        <f t="shared" si="299"/>
        <v>0.56206185567010303</v>
      </c>
      <c r="AE176" s="563">
        <f t="shared" si="300"/>
        <v>890.80881422824928</v>
      </c>
      <c r="AF176" s="546">
        <f t="shared" si="301"/>
        <v>2.8524639175257726E-2</v>
      </c>
      <c r="AH176" s="179">
        <f t="shared" si="302"/>
        <v>0.6359445981490004</v>
      </c>
      <c r="AI176" s="179">
        <f t="shared" si="303"/>
        <v>0.98907607162235478</v>
      </c>
      <c r="AJ176" s="179">
        <f t="shared" si="304"/>
        <v>1.71783412712767</v>
      </c>
      <c r="AL176" s="563">
        <f t="shared" si="305"/>
        <v>72.599999999999994</v>
      </c>
      <c r="AM176" s="472">
        <f t="shared" si="306"/>
        <v>152.30831514302565</v>
      </c>
      <c r="AO176">
        <f t="shared" si="307"/>
        <v>72.599999999999994</v>
      </c>
      <c r="AP176">
        <f t="shared" si="308"/>
        <v>152.30831514302565</v>
      </c>
      <c r="AR176" s="6">
        <f t="shared" si="233"/>
        <v>6.5656297166766411</v>
      </c>
      <c r="AS176" s="6">
        <f t="shared" si="230"/>
        <v>4.6486575366250671</v>
      </c>
      <c r="AT176" s="6">
        <f t="shared" si="231"/>
        <v>1.916972180051574</v>
      </c>
      <c r="AU176" s="179">
        <f t="shared" si="232"/>
        <v>0.70802919708029199</v>
      </c>
      <c r="AW176" s="6">
        <f t="shared" si="254"/>
        <v>1.4062189048290827</v>
      </c>
      <c r="AX176" s="6">
        <f t="shared" si="255"/>
        <v>5.1135232902875742</v>
      </c>
      <c r="AY176" s="6">
        <f t="shared" si="256"/>
        <v>0.58598812745997575</v>
      </c>
      <c r="AZ176" s="6"/>
      <c r="BA176" s="179">
        <f t="shared" si="257"/>
        <v>0.48050139344008852</v>
      </c>
      <c r="BB176" s="179">
        <f t="shared" si="258"/>
        <v>0.30855939901544044</v>
      </c>
      <c r="BC176" s="179">
        <f t="shared" si="259"/>
        <v>0.55529242494429909</v>
      </c>
      <c r="BD176" s="179"/>
      <c r="BE176" s="546">
        <f t="shared" si="260"/>
        <v>8.0808556184253352E-2</v>
      </c>
      <c r="BF176" s="546">
        <f t="shared" si="261"/>
        <v>3.8696808510638302E-2</v>
      </c>
      <c r="BG176" s="546">
        <f t="shared" si="262"/>
        <v>1.9038539392878205E-3</v>
      </c>
      <c r="BH176" s="546">
        <f t="shared" si="263"/>
        <v>8.9333586466232764E-3</v>
      </c>
      <c r="BI176">
        <f t="shared" si="264"/>
        <v>2.8999999999999998E-3</v>
      </c>
      <c r="BK176" s="472">
        <f t="shared" si="265"/>
        <v>133.24257728080275</v>
      </c>
      <c r="BL176" s="179">
        <f t="shared" si="266"/>
        <v>2.1779999999999997E-2</v>
      </c>
      <c r="BM176" s="179">
        <f t="shared" si="267"/>
        <v>3.9600000000000003E-2</v>
      </c>
      <c r="BN176" s="546"/>
      <c r="BP176" s="472">
        <f t="shared" si="268"/>
        <v>61.38</v>
      </c>
      <c r="BQ176" s="546">
        <f t="shared" si="269"/>
        <v>4.6176317819573348E-2</v>
      </c>
      <c r="BR176" s="546">
        <f t="shared" si="270"/>
        <v>1.9041780544153959E-2</v>
      </c>
      <c r="BS176" s="546">
        <f t="shared" si="271"/>
        <v>3.0834967720052005E-2</v>
      </c>
      <c r="BT176" s="546">
        <f t="shared" si="272"/>
        <v>1.3926862161630846E-2</v>
      </c>
      <c r="BU176" s="546"/>
      <c r="BV176" s="656">
        <f t="shared" si="309"/>
        <v>2.7564792833146702E-2</v>
      </c>
      <c r="BW176" s="472">
        <f t="shared" si="273"/>
        <v>137.54472107855688</v>
      </c>
      <c r="BX176" s="179">
        <f t="shared" si="274"/>
        <v>0.33216729835935965</v>
      </c>
      <c r="BY176" s="6">
        <f t="shared" si="275"/>
        <v>3.3264</v>
      </c>
      <c r="BZ176" s="179">
        <f t="shared" si="276"/>
        <v>0.90920836730041399</v>
      </c>
      <c r="CA176" s="6">
        <f t="shared" si="277"/>
        <v>90.920836730041401</v>
      </c>
      <c r="CB176">
        <f t="shared" si="278"/>
        <v>66</v>
      </c>
      <c r="CD176" s="581">
        <f t="shared" si="310"/>
        <v>-50</v>
      </c>
      <c r="CE176">
        <f t="shared" si="311"/>
        <v>-50</v>
      </c>
    </row>
    <row r="177" spans="5:83" x14ac:dyDescent="0.2">
      <c r="E177" s="176">
        <v>67</v>
      </c>
      <c r="F177" s="223">
        <f t="shared" si="312"/>
        <v>7.3700000000000002E-2</v>
      </c>
      <c r="G177" s="223">
        <f t="shared" si="279"/>
        <v>0.13400000000000001</v>
      </c>
      <c r="H177" s="223">
        <f t="shared" si="280"/>
        <v>1.7688000000000001</v>
      </c>
      <c r="I177" s="223">
        <f t="shared" si="281"/>
        <v>1.6080000000000001</v>
      </c>
      <c r="J177" s="559">
        <f t="shared" si="282"/>
        <v>10</v>
      </c>
      <c r="K177" s="454">
        <f t="shared" si="283"/>
        <v>24.25</v>
      </c>
      <c r="L177" s="454">
        <f t="shared" si="284"/>
        <v>34.25</v>
      </c>
      <c r="M177" s="454"/>
      <c r="N177" s="223">
        <f t="shared" si="285"/>
        <v>0.70802919708029199</v>
      </c>
      <c r="O177" s="178">
        <f t="shared" si="286"/>
        <v>2.5543839068474097</v>
      </c>
      <c r="P177" s="178">
        <f t="shared" si="287"/>
        <v>4.4332282680822832</v>
      </c>
      <c r="Q177" s="223">
        <f t="shared" si="288"/>
        <v>0.10643266278530873</v>
      </c>
      <c r="R177" s="223">
        <f t="shared" si="289"/>
        <v>0.21286532557061746</v>
      </c>
      <c r="S177" s="223">
        <f t="shared" si="290"/>
        <v>24</v>
      </c>
      <c r="T177" s="223">
        <f t="shared" si="291"/>
        <v>1.004062072707542</v>
      </c>
      <c r="U177" s="223">
        <f t="shared" si="292"/>
        <v>4.719091741725447</v>
      </c>
      <c r="V177" s="223">
        <f t="shared" si="293"/>
        <v>1.9460172130826587</v>
      </c>
      <c r="W177" s="203">
        <f t="shared" si="294"/>
        <v>350</v>
      </c>
      <c r="X177" s="454">
        <f t="shared" si="295"/>
        <v>150.03505670805512</v>
      </c>
      <c r="Z177" s="223">
        <f t="shared" si="296"/>
        <v>0.43041288576309544</v>
      </c>
      <c r="AA177" s="179">
        <f t="shared" si="297"/>
        <v>0.83420229405630864</v>
      </c>
      <c r="AB177" s="179">
        <f t="shared" si="298"/>
        <v>3.2913046530372254E-2</v>
      </c>
      <c r="AC177" s="179"/>
      <c r="AD177" s="179">
        <f t="shared" si="299"/>
        <v>0.56206185567010303</v>
      </c>
      <c r="AE177" s="563">
        <f t="shared" si="300"/>
        <v>904.30591747413166</v>
      </c>
      <c r="AF177" s="546">
        <f t="shared" si="301"/>
        <v>2.8524639175257726E-2</v>
      </c>
      <c r="AH177" s="179">
        <f t="shared" si="302"/>
        <v>0.6407442481125849</v>
      </c>
      <c r="AI177" s="179">
        <f t="shared" si="303"/>
        <v>1.004062072707542</v>
      </c>
      <c r="AJ177" s="179">
        <f t="shared" si="304"/>
        <v>1.7289348686722532</v>
      </c>
      <c r="AL177" s="563">
        <f t="shared" si="305"/>
        <v>73.7</v>
      </c>
      <c r="AM177" s="472">
        <f t="shared" si="306"/>
        <v>150.03505670805512</v>
      </c>
      <c r="AO177">
        <f t="shared" si="307"/>
        <v>73.7</v>
      </c>
      <c r="AP177">
        <f t="shared" si="308"/>
        <v>150.03505670805512</v>
      </c>
      <c r="AR177" s="6">
        <f t="shared" si="233"/>
        <v>6.6651089548081046</v>
      </c>
      <c r="AS177" s="6">
        <f t="shared" si="230"/>
        <v>4.719091741725447</v>
      </c>
      <c r="AT177" s="6">
        <f t="shared" si="231"/>
        <v>1.9460172130826576</v>
      </c>
      <c r="AU177" s="179">
        <f t="shared" si="232"/>
        <v>0.70802919708029211</v>
      </c>
      <c r="AW177" s="6">
        <f t="shared" si="254"/>
        <v>1.4491544223548563</v>
      </c>
      <c r="AX177" s="6">
        <f t="shared" si="255"/>
        <v>5.2696524449267494</v>
      </c>
      <c r="AY177" s="6">
        <f t="shared" si="256"/>
        <v>0.60387986780712366</v>
      </c>
      <c r="AZ177" s="6"/>
      <c r="BA177" s="179">
        <f t="shared" si="257"/>
        <v>0.48778171758312017</v>
      </c>
      <c r="BB177" s="179">
        <f t="shared" si="258"/>
        <v>0.3132345414247652</v>
      </c>
      <c r="BC177" s="179">
        <f t="shared" si="259"/>
        <v>0.56370594653436412</v>
      </c>
      <c r="BD177" s="179"/>
      <c r="BE177" s="546">
        <f t="shared" si="260"/>
        <v>8.3275851402918571E-2</v>
      </c>
      <c r="BF177" s="546">
        <f t="shared" si="261"/>
        <v>3.8696808510638295E-2</v>
      </c>
      <c r="BG177" s="546">
        <f t="shared" si="262"/>
        <v>1.875438208850689E-3</v>
      </c>
      <c r="BH177" s="546">
        <f t="shared" si="263"/>
        <v>8.8000249354796452E-3</v>
      </c>
      <c r="BI177">
        <f t="shared" si="264"/>
        <v>2.8999999999999998E-3</v>
      </c>
      <c r="BK177" s="472">
        <f t="shared" si="265"/>
        <v>135.54812305788721</v>
      </c>
      <c r="BL177" s="179">
        <f t="shared" si="266"/>
        <v>2.2110000000000001E-2</v>
      </c>
      <c r="BM177" s="179">
        <f t="shared" si="267"/>
        <v>4.02E-2</v>
      </c>
      <c r="BN177" s="546"/>
      <c r="BP177" s="472">
        <f t="shared" si="268"/>
        <v>62.31</v>
      </c>
      <c r="BQ177" s="546">
        <f t="shared" si="269"/>
        <v>4.7586200801667762E-2</v>
      </c>
      <c r="BR177" s="546">
        <f t="shared" si="270"/>
        <v>1.962317558831659E-2</v>
      </c>
      <c r="BS177" s="546">
        <f t="shared" si="271"/>
        <v>3.177643941582034E-2</v>
      </c>
      <c r="BT177" s="546">
        <f t="shared" si="272"/>
        <v>1.3926862161630842E-2</v>
      </c>
      <c r="BU177" s="546"/>
      <c r="BV177" s="656">
        <f t="shared" si="309"/>
        <v>2.7982441209406499E-2</v>
      </c>
      <c r="BW177" s="472">
        <f t="shared" si="273"/>
        <v>140.89511917684203</v>
      </c>
      <c r="BX177" s="179">
        <f t="shared" si="274"/>
        <v>0.33875324223472925</v>
      </c>
      <c r="BY177" s="6">
        <f t="shared" si="275"/>
        <v>3.3768000000000002</v>
      </c>
      <c r="BZ177" s="179">
        <f t="shared" si="276"/>
        <v>0.90882831703658074</v>
      </c>
      <c r="CA177" s="6">
        <f t="shared" si="277"/>
        <v>90.88283170365807</v>
      </c>
      <c r="CB177">
        <f t="shared" si="278"/>
        <v>67</v>
      </c>
      <c r="CD177" s="581">
        <f t="shared" si="310"/>
        <v>-50</v>
      </c>
      <c r="CE177">
        <f t="shared" si="311"/>
        <v>-50</v>
      </c>
    </row>
    <row r="178" spans="5:83" x14ac:dyDescent="0.2">
      <c r="E178" s="176">
        <v>68</v>
      </c>
      <c r="F178" s="223">
        <f t="shared" si="312"/>
        <v>7.4800000000000005E-2</v>
      </c>
      <c r="G178" s="223">
        <f t="shared" si="279"/>
        <v>0.13600000000000001</v>
      </c>
      <c r="H178" s="223">
        <f t="shared" si="280"/>
        <v>1.7952000000000001</v>
      </c>
      <c r="I178" s="223">
        <f t="shared" si="281"/>
        <v>1.6320000000000001</v>
      </c>
      <c r="J178" s="559">
        <f t="shared" si="282"/>
        <v>10</v>
      </c>
      <c r="K178" s="454">
        <f t="shared" si="283"/>
        <v>24.25</v>
      </c>
      <c r="L178" s="454">
        <f t="shared" si="284"/>
        <v>34.25</v>
      </c>
      <c r="M178" s="454"/>
      <c r="N178" s="223">
        <f t="shared" si="285"/>
        <v>0.70802919708029199</v>
      </c>
      <c r="O178" s="178">
        <f t="shared" si="286"/>
        <v>2.5543839068474097</v>
      </c>
      <c r="P178" s="178">
        <f t="shared" si="287"/>
        <v>4.4332282680822832</v>
      </c>
      <c r="Q178" s="223">
        <f t="shared" si="288"/>
        <v>0.10643266278530873</v>
      </c>
      <c r="R178" s="223">
        <f t="shared" si="289"/>
        <v>0.21286532557061746</v>
      </c>
      <c r="S178" s="223">
        <f t="shared" si="290"/>
        <v>24</v>
      </c>
      <c r="T178" s="223">
        <f t="shared" si="291"/>
        <v>1.0190480737927292</v>
      </c>
      <c r="U178" s="223">
        <f t="shared" si="292"/>
        <v>4.7895259468258269</v>
      </c>
      <c r="V178" s="223">
        <f t="shared" si="293"/>
        <v>1.975062246113743</v>
      </c>
      <c r="W178" s="203">
        <f t="shared" si="294"/>
        <v>350</v>
      </c>
      <c r="X178" s="454">
        <f t="shared" si="295"/>
        <v>147.8286588152896</v>
      </c>
      <c r="Z178" s="223">
        <f t="shared" si="296"/>
        <v>0.43041288576309544</v>
      </c>
      <c r="AA178" s="179">
        <f t="shared" si="297"/>
        <v>0.83420229405630864</v>
      </c>
      <c r="AB178" s="179">
        <f t="shared" si="298"/>
        <v>3.2913046530372254E-2</v>
      </c>
      <c r="AC178" s="179"/>
      <c r="AD178" s="179">
        <f t="shared" si="299"/>
        <v>0.56206185567010303</v>
      </c>
      <c r="AE178" s="563">
        <f t="shared" si="300"/>
        <v>917.8030207200145</v>
      </c>
      <c r="AF178" s="546">
        <f t="shared" si="301"/>
        <v>2.8524639175257726E-2</v>
      </c>
      <c r="AH178" s="179">
        <f t="shared" si="302"/>
        <v>0.64550821146119419</v>
      </c>
      <c r="AI178" s="179">
        <f t="shared" si="303"/>
        <v>1.0190480737927292</v>
      </c>
      <c r="AJ178" s="179">
        <f t="shared" si="304"/>
        <v>1.7400356102168364</v>
      </c>
      <c r="AL178" s="563">
        <f t="shared" si="305"/>
        <v>74.800000000000011</v>
      </c>
      <c r="AM178" s="472">
        <f t="shared" si="306"/>
        <v>147.8286588152896</v>
      </c>
      <c r="AO178">
        <f t="shared" si="307"/>
        <v>74.800000000000011</v>
      </c>
      <c r="AP178">
        <f t="shared" si="308"/>
        <v>147.8286588152896</v>
      </c>
      <c r="AR178" s="6">
        <f t="shared" si="233"/>
        <v>6.764588192939569</v>
      </c>
      <c r="AS178" s="6">
        <f t="shared" si="230"/>
        <v>4.7895259468258269</v>
      </c>
      <c r="AT178" s="6">
        <f t="shared" si="231"/>
        <v>1.9750622461137421</v>
      </c>
      <c r="AU178" s="179">
        <f t="shared" si="232"/>
        <v>0.70802919708029211</v>
      </c>
      <c r="AW178" s="6">
        <f t="shared" si="254"/>
        <v>1.4927355867607159</v>
      </c>
      <c r="AX178" s="6">
        <f t="shared" si="255"/>
        <v>5.4281294064026042</v>
      </c>
      <c r="AY178" s="6">
        <f t="shared" si="256"/>
        <v>0.62204065688129651</v>
      </c>
      <c r="AZ178" s="6"/>
      <c r="BA178" s="179">
        <f t="shared" si="257"/>
        <v>0.49506204172615181</v>
      </c>
      <c r="BB178" s="179">
        <f t="shared" si="258"/>
        <v>0.31790968383409007</v>
      </c>
      <c r="BC178" s="179">
        <f t="shared" si="259"/>
        <v>0.57211946812442926</v>
      </c>
      <c r="BD178" s="179"/>
      <c r="BE178" s="546">
        <f t="shared" si="260"/>
        <v>8.5780248805323131E-2</v>
      </c>
      <c r="BF178" s="546">
        <f t="shared" si="261"/>
        <v>3.8696808510638295E-2</v>
      </c>
      <c r="BG178" s="546">
        <f t="shared" si="262"/>
        <v>1.84785823519112E-3</v>
      </c>
      <c r="BH178" s="546">
        <f t="shared" si="263"/>
        <v>8.670612804075533E-3</v>
      </c>
      <c r="BI178">
        <f t="shared" si="264"/>
        <v>2.8999999999999998E-3</v>
      </c>
      <c r="BK178" s="472">
        <f t="shared" si="265"/>
        <v>137.89552835522807</v>
      </c>
      <c r="BL178" s="179">
        <f t="shared" si="266"/>
        <v>2.2440000000000002E-2</v>
      </c>
      <c r="BM178" s="179">
        <f t="shared" si="267"/>
        <v>4.0800000000000003E-2</v>
      </c>
      <c r="BN178" s="546"/>
      <c r="BP178" s="472">
        <f t="shared" si="268"/>
        <v>63.24</v>
      </c>
      <c r="BQ178" s="546">
        <f t="shared" si="269"/>
        <v>4.901728503161322E-2</v>
      </c>
      <c r="BR178" s="546">
        <f t="shared" si="270"/>
        <v>2.0213313415098223E-2</v>
      </c>
      <c r="BS178" s="546">
        <f t="shared" si="271"/>
        <v>3.2732068580697986E-2</v>
      </c>
      <c r="BT178" s="546">
        <f t="shared" si="272"/>
        <v>1.3926862161630846E-2</v>
      </c>
      <c r="BU178" s="546"/>
      <c r="BV178" s="656">
        <f t="shared" si="309"/>
        <v>2.84000895856663E-2</v>
      </c>
      <c r="BW178" s="472">
        <f t="shared" si="273"/>
        <v>144.28961877470658</v>
      </c>
      <c r="BX178" s="179">
        <f t="shared" si="274"/>
        <v>0.34542514712993472</v>
      </c>
      <c r="BY178" s="6">
        <f t="shared" si="275"/>
        <v>3.4272</v>
      </c>
      <c r="BZ178" s="179">
        <f t="shared" si="276"/>
        <v>0.90843904876350612</v>
      </c>
      <c r="CA178" s="6">
        <f t="shared" si="277"/>
        <v>90.843904876350607</v>
      </c>
      <c r="CB178">
        <f t="shared" si="278"/>
        <v>68</v>
      </c>
      <c r="CD178" s="581">
        <f t="shared" si="310"/>
        <v>-50</v>
      </c>
      <c r="CE178">
        <f t="shared" si="311"/>
        <v>-50</v>
      </c>
    </row>
    <row r="179" spans="5:83" x14ac:dyDescent="0.2">
      <c r="E179" s="176">
        <v>69</v>
      </c>
      <c r="F179" s="223">
        <f t="shared" si="312"/>
        <v>7.5899999999999995E-2</v>
      </c>
      <c r="G179" s="223">
        <f t="shared" si="279"/>
        <v>0.13799999999999998</v>
      </c>
      <c r="H179" s="223">
        <f t="shared" si="280"/>
        <v>1.8215999999999999</v>
      </c>
      <c r="I179" s="223">
        <f t="shared" si="281"/>
        <v>1.6559999999999997</v>
      </c>
      <c r="J179" s="559">
        <f t="shared" si="282"/>
        <v>10</v>
      </c>
      <c r="K179" s="454">
        <f t="shared" si="283"/>
        <v>24.25</v>
      </c>
      <c r="L179" s="454">
        <f t="shared" si="284"/>
        <v>34.25</v>
      </c>
      <c r="M179" s="454"/>
      <c r="N179" s="223">
        <f t="shared" si="285"/>
        <v>0.70802919708029199</v>
      </c>
      <c r="O179" s="178">
        <f t="shared" si="286"/>
        <v>2.5543839068474097</v>
      </c>
      <c r="P179" s="178">
        <f t="shared" si="287"/>
        <v>4.4332282680822832</v>
      </c>
      <c r="Q179" s="223">
        <f t="shared" si="288"/>
        <v>0.10643266278530873</v>
      </c>
      <c r="R179" s="223">
        <f t="shared" si="289"/>
        <v>0.21286532557061746</v>
      </c>
      <c r="S179" s="223">
        <f t="shared" si="290"/>
        <v>24</v>
      </c>
      <c r="T179" s="223">
        <f t="shared" si="291"/>
        <v>1.0340340748779164</v>
      </c>
      <c r="U179" s="223">
        <f t="shared" si="292"/>
        <v>4.8599601519262068</v>
      </c>
      <c r="V179" s="223">
        <f t="shared" si="293"/>
        <v>2.0041072791448276</v>
      </c>
      <c r="W179" s="203">
        <f t="shared" si="294"/>
        <v>350</v>
      </c>
      <c r="X179" s="454">
        <f t="shared" si="295"/>
        <v>145.68621448463321</v>
      </c>
      <c r="Z179" s="223">
        <f t="shared" si="296"/>
        <v>0.43041288576309544</v>
      </c>
      <c r="AA179" s="179">
        <f t="shared" si="297"/>
        <v>0.83420229405630864</v>
      </c>
      <c r="AB179" s="179">
        <f t="shared" si="298"/>
        <v>3.2913046530372254E-2</v>
      </c>
      <c r="AC179" s="179"/>
      <c r="AD179" s="179">
        <f t="shared" si="299"/>
        <v>0.56206185567010303</v>
      </c>
      <c r="AE179" s="563">
        <f t="shared" si="300"/>
        <v>931.30012396589689</v>
      </c>
      <c r="AF179" s="546">
        <f t="shared" si="301"/>
        <v>2.8524639175257726E-2</v>
      </c>
      <c r="AH179" s="179">
        <f t="shared" si="302"/>
        <v>0.65023727256925057</v>
      </c>
      <c r="AI179" s="179">
        <f t="shared" si="303"/>
        <v>1.0340340748779164</v>
      </c>
      <c r="AJ179" s="179">
        <f t="shared" si="304"/>
        <v>1.7511363517614194</v>
      </c>
      <c r="AL179" s="563">
        <f t="shared" si="305"/>
        <v>75.899999999999991</v>
      </c>
      <c r="AM179" s="472">
        <f t="shared" si="306"/>
        <v>145.68621448463321</v>
      </c>
      <c r="AO179">
        <f t="shared" si="307"/>
        <v>75.899999999999991</v>
      </c>
      <c r="AP179">
        <f t="shared" si="308"/>
        <v>145.68621448463321</v>
      </c>
      <c r="AR179" s="6">
        <f t="shared" si="233"/>
        <v>6.8640674310710343</v>
      </c>
      <c r="AS179" s="6">
        <f t="shared" ref="AS179:AS242" si="313">L*AI179/J179*1000000</f>
        <v>4.8599601519262068</v>
      </c>
      <c r="AT179" s="6">
        <f t="shared" ref="AT179:AT242" si="314">AR179-AS179</f>
        <v>2.0041072791448276</v>
      </c>
      <c r="AU179" s="179">
        <f t="shared" ref="AU179:AU242" si="315">AS179/AR179</f>
        <v>0.70802919708029199</v>
      </c>
      <c r="AW179" s="6">
        <f t="shared" si="254"/>
        <v>1.5369623980466629</v>
      </c>
      <c r="AX179" s="6">
        <f t="shared" si="255"/>
        <v>5.5889541747151377</v>
      </c>
      <c r="AY179" s="6">
        <f t="shared" si="256"/>
        <v>0.64047049468249428</v>
      </c>
      <c r="AZ179" s="6"/>
      <c r="BA179" s="179">
        <f t="shared" si="257"/>
        <v>0.50234236586918346</v>
      </c>
      <c r="BB179" s="179">
        <f t="shared" si="258"/>
        <v>0.322584826243415</v>
      </c>
      <c r="BC179" s="179">
        <f t="shared" si="259"/>
        <v>0.58053298971449452</v>
      </c>
      <c r="BD179" s="179"/>
      <c r="BE179" s="546">
        <f t="shared" si="260"/>
        <v>8.8321748391466989E-2</v>
      </c>
      <c r="BF179" s="546">
        <f t="shared" si="261"/>
        <v>3.8696808510638295E-2</v>
      </c>
      <c r="BG179" s="546">
        <f t="shared" si="262"/>
        <v>1.8210776810579151E-3</v>
      </c>
      <c r="BH179" s="546">
        <f t="shared" si="263"/>
        <v>8.5449517489440026E-3</v>
      </c>
      <c r="BI179">
        <f t="shared" si="264"/>
        <v>2.8999999999999998E-3</v>
      </c>
      <c r="BK179" s="472">
        <f t="shared" si="265"/>
        <v>140.28458633210721</v>
      </c>
      <c r="BL179" s="179">
        <f t="shared" si="266"/>
        <v>2.2769999999999999E-2</v>
      </c>
      <c r="BM179" s="179">
        <f t="shared" si="267"/>
        <v>4.1399999999999992E-2</v>
      </c>
      <c r="BN179" s="546"/>
      <c r="BP179" s="472">
        <f t="shared" si="268"/>
        <v>64.169999999999987</v>
      </c>
      <c r="BQ179" s="546">
        <f t="shared" si="269"/>
        <v>5.0469570509409714E-2</v>
      </c>
      <c r="BR179" s="546">
        <f t="shared" si="270"/>
        <v>2.0812194024498853E-2</v>
      </c>
      <c r="BS179" s="546">
        <f t="shared" si="271"/>
        <v>3.3701855214684939E-2</v>
      </c>
      <c r="BT179" s="546">
        <f t="shared" si="272"/>
        <v>1.3926862161630834E-2</v>
      </c>
      <c r="BU179" s="546"/>
      <c r="BV179" s="656">
        <f t="shared" si="309"/>
        <v>2.8817737961926097E-2</v>
      </c>
      <c r="BW179" s="472">
        <f t="shared" si="273"/>
        <v>147.72821987215042</v>
      </c>
      <c r="BX179" s="179">
        <f t="shared" si="274"/>
        <v>0.35218280620425768</v>
      </c>
      <c r="BY179" s="6">
        <f t="shared" si="275"/>
        <v>3.4775999999999998</v>
      </c>
      <c r="BZ179" s="179">
        <f t="shared" si="276"/>
        <v>0.9080410498387218</v>
      </c>
      <c r="CA179" s="6">
        <f t="shared" si="277"/>
        <v>90.804104983872179</v>
      </c>
      <c r="CB179">
        <f t="shared" si="278"/>
        <v>69</v>
      </c>
      <c r="CD179" s="581">
        <f t="shared" si="310"/>
        <v>-50</v>
      </c>
      <c r="CE179">
        <f t="shared" si="311"/>
        <v>-50</v>
      </c>
    </row>
    <row r="180" spans="5:83" x14ac:dyDescent="0.2">
      <c r="E180" s="176">
        <v>70</v>
      </c>
      <c r="F180" s="223">
        <f t="shared" si="312"/>
        <v>7.6999999999999999E-2</v>
      </c>
      <c r="G180" s="223">
        <f t="shared" si="279"/>
        <v>0.13999999999999999</v>
      </c>
      <c r="H180" s="223">
        <f t="shared" si="280"/>
        <v>1.8479999999999999</v>
      </c>
      <c r="I180" s="223">
        <f t="shared" si="281"/>
        <v>1.6799999999999997</v>
      </c>
      <c r="J180" s="559">
        <f t="shared" si="282"/>
        <v>10</v>
      </c>
      <c r="K180" s="454">
        <f t="shared" si="283"/>
        <v>24.25</v>
      </c>
      <c r="L180" s="454">
        <f t="shared" si="284"/>
        <v>34.25</v>
      </c>
      <c r="M180" s="454"/>
      <c r="N180" s="223">
        <f t="shared" si="285"/>
        <v>0.70802919708029199</v>
      </c>
      <c r="O180" s="178">
        <f t="shared" si="286"/>
        <v>2.5543839068474097</v>
      </c>
      <c r="P180" s="178">
        <f t="shared" si="287"/>
        <v>4.4332282680822832</v>
      </c>
      <c r="Q180" s="223">
        <f t="shared" si="288"/>
        <v>0.10643266278530873</v>
      </c>
      <c r="R180" s="223">
        <f t="shared" si="289"/>
        <v>0.21286532557061746</v>
      </c>
      <c r="S180" s="223">
        <f t="shared" si="290"/>
        <v>24</v>
      </c>
      <c r="T180" s="223">
        <f t="shared" si="291"/>
        <v>1.0490200759631034</v>
      </c>
      <c r="U180" s="223">
        <f t="shared" si="292"/>
        <v>4.9303943570265858</v>
      </c>
      <c r="V180" s="223">
        <f t="shared" si="293"/>
        <v>2.0331523121759121</v>
      </c>
      <c r="W180" s="203">
        <f t="shared" si="294"/>
        <v>350</v>
      </c>
      <c r="X180" s="454">
        <f t="shared" si="295"/>
        <v>143.60498284913848</v>
      </c>
      <c r="Z180" s="223">
        <f t="shared" si="296"/>
        <v>0.43041288576309544</v>
      </c>
      <c r="AA180" s="179">
        <f t="shared" si="297"/>
        <v>0.83420229405630864</v>
      </c>
      <c r="AB180" s="179">
        <f t="shared" si="298"/>
        <v>3.2913046530372254E-2</v>
      </c>
      <c r="AC180" s="179"/>
      <c r="AD180" s="179">
        <f t="shared" si="299"/>
        <v>0.56206185567010303</v>
      </c>
      <c r="AE180" s="563">
        <f t="shared" si="300"/>
        <v>944.7972272117795</v>
      </c>
      <c r="AF180" s="546">
        <f t="shared" si="301"/>
        <v>2.8524639175257726E-2</v>
      </c>
      <c r="AH180" s="179">
        <f t="shared" si="302"/>
        <v>0.65493218749177839</v>
      </c>
      <c r="AI180" s="179">
        <f t="shared" si="303"/>
        <v>1.0490200759631034</v>
      </c>
      <c r="AJ180" s="179">
        <f t="shared" si="304"/>
        <v>1.7622370933060023</v>
      </c>
      <c r="AL180" s="563">
        <f t="shared" si="305"/>
        <v>77</v>
      </c>
      <c r="AM180" s="472">
        <f t="shared" si="306"/>
        <v>143.60498284913848</v>
      </c>
      <c r="AO180">
        <f t="shared" si="307"/>
        <v>77</v>
      </c>
      <c r="AP180">
        <f t="shared" si="308"/>
        <v>143.60498284913848</v>
      </c>
      <c r="AR180" s="6">
        <f t="shared" si="233"/>
        <v>6.963546669202497</v>
      </c>
      <c r="AS180" s="6">
        <f t="shared" si="313"/>
        <v>4.9303943570265858</v>
      </c>
      <c r="AT180" s="6">
        <f t="shared" si="314"/>
        <v>2.0331523121759112</v>
      </c>
      <c r="AU180" s="179">
        <f t="shared" si="315"/>
        <v>0.70802919708029199</v>
      </c>
      <c r="AW180" s="6">
        <f t="shared" si="254"/>
        <v>1.5818348562126963</v>
      </c>
      <c r="AX180" s="6">
        <f t="shared" si="255"/>
        <v>5.7521267498643489</v>
      </c>
      <c r="AY180" s="6">
        <f t="shared" si="256"/>
        <v>0.65916938121071644</v>
      </c>
      <c r="AZ180" s="6"/>
      <c r="BA180" s="179">
        <f t="shared" si="257"/>
        <v>0.50962269001221505</v>
      </c>
      <c r="BB180" s="179">
        <f t="shared" si="258"/>
        <v>0.32725996865273982</v>
      </c>
      <c r="BC180" s="179">
        <f t="shared" si="259"/>
        <v>0.58894651130455966</v>
      </c>
      <c r="BD180" s="179"/>
      <c r="BE180" s="546">
        <f t="shared" si="260"/>
        <v>9.0900350161350174E-2</v>
      </c>
      <c r="BF180" s="546">
        <f t="shared" si="261"/>
        <v>3.8696808510638302E-2</v>
      </c>
      <c r="BG180" s="546">
        <f t="shared" si="262"/>
        <v>1.7950622856142309E-3</v>
      </c>
      <c r="BH180" s="546">
        <f t="shared" si="263"/>
        <v>8.4228810096733751E-3</v>
      </c>
      <c r="BI180">
        <f t="shared" si="264"/>
        <v>2.8999999999999998E-3</v>
      </c>
      <c r="BK180" s="472">
        <f t="shared" si="265"/>
        <v>142.7151019672761</v>
      </c>
      <c r="BL180" s="179">
        <f t="shared" si="266"/>
        <v>2.3099999999999999E-2</v>
      </c>
      <c r="BM180" s="179">
        <f t="shared" si="267"/>
        <v>4.1999999999999996E-2</v>
      </c>
      <c r="BN180" s="546"/>
      <c r="BP180" s="472">
        <f t="shared" si="268"/>
        <v>65.099999999999994</v>
      </c>
      <c r="BQ180" s="546">
        <f t="shared" si="269"/>
        <v>5.1943057235057245E-2</v>
      </c>
      <c r="BR180" s="546">
        <f t="shared" si="270"/>
        <v>2.1419817416518452E-2</v>
      </c>
      <c r="BS180" s="546">
        <f t="shared" si="271"/>
        <v>3.468579931778118E-2</v>
      </c>
      <c r="BT180" s="546">
        <f t="shared" si="272"/>
        <v>1.392686216163086E-2</v>
      </c>
      <c r="BU180" s="546"/>
      <c r="BV180" s="656">
        <f t="shared" si="309"/>
        <v>2.9235386338185888E-2</v>
      </c>
      <c r="BW180" s="472">
        <f t="shared" si="273"/>
        <v>151.21092246917365</v>
      </c>
      <c r="BX180" s="179">
        <f t="shared" si="274"/>
        <v>0.35902602443644971</v>
      </c>
      <c r="BY180" s="6">
        <f t="shared" si="275"/>
        <v>3.5279999999999996</v>
      </c>
      <c r="BZ180" s="179">
        <f t="shared" si="276"/>
        <v>0.90763477728747588</v>
      </c>
      <c r="CA180" s="6">
        <f t="shared" si="277"/>
        <v>90.763477728747588</v>
      </c>
      <c r="CB180">
        <f t="shared" si="278"/>
        <v>70</v>
      </c>
      <c r="CD180" s="581">
        <f t="shared" si="310"/>
        <v>-50</v>
      </c>
      <c r="CE180">
        <f t="shared" si="311"/>
        <v>-50</v>
      </c>
    </row>
    <row r="181" spans="5:83" x14ac:dyDescent="0.2">
      <c r="E181" s="176">
        <v>71</v>
      </c>
      <c r="F181" s="223">
        <f t="shared" si="312"/>
        <v>7.8100000000000003E-2</v>
      </c>
      <c r="G181" s="223">
        <f t="shared" si="279"/>
        <v>0.14199999999999999</v>
      </c>
      <c r="H181" s="223">
        <f t="shared" si="280"/>
        <v>1.8744000000000001</v>
      </c>
      <c r="I181" s="223">
        <f t="shared" si="281"/>
        <v>1.7039999999999997</v>
      </c>
      <c r="J181" s="559">
        <f t="shared" si="282"/>
        <v>10</v>
      </c>
      <c r="K181" s="454">
        <f t="shared" si="283"/>
        <v>24.25</v>
      </c>
      <c r="L181" s="454">
        <f t="shared" si="284"/>
        <v>34.25</v>
      </c>
      <c r="M181" s="454"/>
      <c r="N181" s="223">
        <f t="shared" si="285"/>
        <v>0.70802919708029199</v>
      </c>
      <c r="O181" s="178">
        <f t="shared" si="286"/>
        <v>2.5543839068474097</v>
      </c>
      <c r="P181" s="178">
        <f t="shared" si="287"/>
        <v>4.4332282680822832</v>
      </c>
      <c r="Q181" s="223">
        <f t="shared" si="288"/>
        <v>0.10643266278530873</v>
      </c>
      <c r="R181" s="223">
        <f t="shared" si="289"/>
        <v>0.21286532557061746</v>
      </c>
      <c r="S181" s="223">
        <f t="shared" si="290"/>
        <v>24</v>
      </c>
      <c r="T181" s="223">
        <f t="shared" si="291"/>
        <v>1.0640060770482906</v>
      </c>
      <c r="U181" s="223">
        <f t="shared" si="292"/>
        <v>5.0008285621269657</v>
      </c>
      <c r="V181" s="223">
        <f t="shared" si="293"/>
        <v>2.0621973452069962</v>
      </c>
      <c r="W181" s="203">
        <f t="shared" si="294"/>
        <v>350</v>
      </c>
      <c r="X181" s="454">
        <f t="shared" si="295"/>
        <v>141.58237745689709</v>
      </c>
      <c r="Z181" s="223">
        <f t="shared" si="296"/>
        <v>0.43041288576309544</v>
      </c>
      <c r="AA181" s="179">
        <f t="shared" si="297"/>
        <v>0.83420229405630864</v>
      </c>
      <c r="AB181" s="179">
        <f t="shared" si="298"/>
        <v>3.2913046530372254E-2</v>
      </c>
      <c r="AC181" s="179"/>
      <c r="AD181" s="179">
        <f t="shared" si="299"/>
        <v>0.56206185567010303</v>
      </c>
      <c r="AE181" s="563">
        <f t="shared" si="300"/>
        <v>958.294330457662</v>
      </c>
      <c r="AF181" s="546">
        <f t="shared" si="301"/>
        <v>2.8524639175257726E-2</v>
      </c>
      <c r="AH181" s="179">
        <f t="shared" si="302"/>
        <v>0.65959368537549989</v>
      </c>
      <c r="AI181" s="179">
        <f t="shared" si="303"/>
        <v>1.0640060770482906</v>
      </c>
      <c r="AJ181" s="179">
        <f t="shared" si="304"/>
        <v>1.7733378348505857</v>
      </c>
      <c r="AL181" s="563">
        <f t="shared" si="305"/>
        <v>78.100000000000009</v>
      </c>
      <c r="AM181" s="472">
        <f t="shared" si="306"/>
        <v>141.58237745689709</v>
      </c>
      <c r="AO181">
        <f t="shared" si="307"/>
        <v>78.100000000000009</v>
      </c>
      <c r="AP181">
        <f t="shared" si="308"/>
        <v>141.58237745689709</v>
      </c>
      <c r="AR181" s="6">
        <f t="shared" si="233"/>
        <v>7.0630259073339614</v>
      </c>
      <c r="AS181" s="6">
        <f t="shared" si="313"/>
        <v>5.0008285621269657</v>
      </c>
      <c r="AT181" s="6">
        <f t="shared" si="314"/>
        <v>2.0621973452069957</v>
      </c>
      <c r="AU181" s="179">
        <f t="shared" si="315"/>
        <v>0.70802919708029199</v>
      </c>
      <c r="AW181" s="6">
        <f t="shared" si="254"/>
        <v>1.6273529612588167</v>
      </c>
      <c r="AX181" s="6">
        <f t="shared" si="255"/>
        <v>5.9176471318502415</v>
      </c>
      <c r="AY181" s="6">
        <f t="shared" si="256"/>
        <v>0.67813731646596365</v>
      </c>
      <c r="AZ181" s="6"/>
      <c r="BA181" s="179">
        <f t="shared" si="257"/>
        <v>0.51690301415524664</v>
      </c>
      <c r="BB181" s="179">
        <f t="shared" si="258"/>
        <v>0.33193511106206464</v>
      </c>
      <c r="BC181" s="179">
        <f t="shared" si="259"/>
        <v>0.5973600328946248</v>
      </c>
      <c r="BD181" s="179"/>
      <c r="BE181" s="546">
        <f t="shared" si="260"/>
        <v>9.3516054114972685E-2</v>
      </c>
      <c r="BF181" s="546">
        <f t="shared" si="261"/>
        <v>3.8696808510638302E-2</v>
      </c>
      <c r="BG181" s="546">
        <f t="shared" si="262"/>
        <v>1.7697797182112136E-3</v>
      </c>
      <c r="BH181" s="546">
        <f t="shared" si="263"/>
        <v>8.3042488827765673E-3</v>
      </c>
      <c r="BI181">
        <f t="shared" si="264"/>
        <v>2.8999999999999998E-3</v>
      </c>
      <c r="BK181" s="472">
        <f t="shared" si="265"/>
        <v>145.18689122659879</v>
      </c>
      <c r="BL181" s="179">
        <f t="shared" si="266"/>
        <v>2.3429999999999999E-2</v>
      </c>
      <c r="BM181" s="179">
        <f t="shared" si="267"/>
        <v>4.2599999999999992E-2</v>
      </c>
      <c r="BN181" s="546"/>
      <c r="BP181" s="472">
        <f t="shared" si="268"/>
        <v>66.029999999999987</v>
      </c>
      <c r="BQ181" s="546">
        <f t="shared" si="269"/>
        <v>5.343774520855582E-2</v>
      </c>
      <c r="BR181" s="546">
        <f t="shared" si="270"/>
        <v>2.2036183591157041E-2</v>
      </c>
      <c r="BS181" s="546">
        <f t="shared" si="271"/>
        <v>3.5683900889986728E-2</v>
      </c>
      <c r="BT181" s="546">
        <f t="shared" si="272"/>
        <v>1.3926862161630848E-2</v>
      </c>
      <c r="BU181" s="546"/>
      <c r="BV181" s="656">
        <f t="shared" si="309"/>
        <v>2.9653034714445685E-2</v>
      </c>
      <c r="BW181" s="472">
        <f t="shared" si="273"/>
        <v>154.73772656577614</v>
      </c>
      <c r="BX181" s="179">
        <f t="shared" si="274"/>
        <v>0.36595461779237498</v>
      </c>
      <c r="BY181" s="6">
        <f t="shared" si="275"/>
        <v>3.5783999999999998</v>
      </c>
      <c r="BZ181" s="179">
        <f t="shared" si="276"/>
        <v>0.90722066009440172</v>
      </c>
      <c r="CA181" s="6">
        <f t="shared" si="277"/>
        <v>90.722066009440169</v>
      </c>
      <c r="CB181">
        <f t="shared" si="278"/>
        <v>71.000000000000014</v>
      </c>
      <c r="CD181" s="581">
        <f t="shared" si="310"/>
        <v>-50</v>
      </c>
      <c r="CE181">
        <f t="shared" si="311"/>
        <v>-50</v>
      </c>
    </row>
    <row r="182" spans="5:83" x14ac:dyDescent="0.2">
      <c r="E182" s="176">
        <v>72</v>
      </c>
      <c r="F182" s="223">
        <f t="shared" si="312"/>
        <v>7.9199999999999993E-2</v>
      </c>
      <c r="G182" s="223">
        <f t="shared" si="279"/>
        <v>0.14399999999999999</v>
      </c>
      <c r="H182" s="223">
        <f t="shared" si="280"/>
        <v>1.9007999999999998</v>
      </c>
      <c r="I182" s="223">
        <f t="shared" si="281"/>
        <v>1.7279999999999998</v>
      </c>
      <c r="J182" s="559">
        <f t="shared" si="282"/>
        <v>10</v>
      </c>
      <c r="K182" s="454">
        <f t="shared" si="283"/>
        <v>24.25</v>
      </c>
      <c r="L182" s="454">
        <f t="shared" si="284"/>
        <v>34.25</v>
      </c>
      <c r="M182" s="454"/>
      <c r="N182" s="223">
        <f t="shared" si="285"/>
        <v>0.70802919708029199</v>
      </c>
      <c r="O182" s="178">
        <f t="shared" si="286"/>
        <v>2.5543839068474097</v>
      </c>
      <c r="P182" s="178">
        <f t="shared" si="287"/>
        <v>4.4332282680822832</v>
      </c>
      <c r="Q182" s="223">
        <f t="shared" si="288"/>
        <v>0.10643266278530873</v>
      </c>
      <c r="R182" s="223">
        <f t="shared" si="289"/>
        <v>0.21286532557061746</v>
      </c>
      <c r="S182" s="223">
        <f t="shared" si="290"/>
        <v>24</v>
      </c>
      <c r="T182" s="223">
        <f t="shared" si="291"/>
        <v>1.0789920781334779</v>
      </c>
      <c r="U182" s="223">
        <f t="shared" si="292"/>
        <v>5.0712627672273456</v>
      </c>
      <c r="V182" s="223">
        <f t="shared" si="293"/>
        <v>2.0912423782380807</v>
      </c>
      <c r="W182" s="203">
        <f t="shared" si="294"/>
        <v>350</v>
      </c>
      <c r="X182" s="454">
        <f t="shared" si="295"/>
        <v>139.6159555477735</v>
      </c>
      <c r="Z182" s="223">
        <f t="shared" si="296"/>
        <v>0.43041288576309544</v>
      </c>
      <c r="AA182" s="179">
        <f t="shared" si="297"/>
        <v>0.83420229405630864</v>
      </c>
      <c r="AB182" s="179">
        <f t="shared" si="298"/>
        <v>3.2913046530372254E-2</v>
      </c>
      <c r="AC182" s="179"/>
      <c r="AD182" s="179">
        <f t="shared" si="299"/>
        <v>0.56206185567010303</v>
      </c>
      <c r="AE182" s="563">
        <f t="shared" si="300"/>
        <v>971.7914337035445</v>
      </c>
      <c r="AF182" s="546">
        <f t="shared" si="301"/>
        <v>2.8524639175257726E-2</v>
      </c>
      <c r="AH182" s="179">
        <f t="shared" si="302"/>
        <v>0.66422246978079724</v>
      </c>
      <c r="AI182" s="179">
        <f t="shared" si="303"/>
        <v>1.0789920781334779</v>
      </c>
      <c r="AJ182" s="179">
        <f t="shared" si="304"/>
        <v>1.7844385763951687</v>
      </c>
      <c r="AL182" s="563">
        <f t="shared" si="305"/>
        <v>79.199999999999989</v>
      </c>
      <c r="AM182" s="472">
        <f t="shared" si="306"/>
        <v>139.6159555477735</v>
      </c>
      <c r="AO182">
        <f t="shared" si="307"/>
        <v>79.199999999999989</v>
      </c>
      <c r="AP182">
        <f t="shared" si="308"/>
        <v>139.6159555477735</v>
      </c>
      <c r="AR182" s="6">
        <f t="shared" si="233"/>
        <v>7.1625051454654276</v>
      </c>
      <c r="AS182" s="6">
        <f t="shared" si="313"/>
        <v>5.0712627672273456</v>
      </c>
      <c r="AT182" s="6">
        <f t="shared" si="314"/>
        <v>2.091242378238082</v>
      </c>
      <c r="AU182" s="179">
        <f t="shared" si="315"/>
        <v>0.70802919708029188</v>
      </c>
      <c r="AW182" s="6">
        <f t="shared" si="254"/>
        <v>1.6735167131850239</v>
      </c>
      <c r="AX182" s="6">
        <f t="shared" si="255"/>
        <v>6.0855153206728136</v>
      </c>
      <c r="AY182" s="6">
        <f t="shared" si="256"/>
        <v>0.69737430044823601</v>
      </c>
      <c r="AZ182" s="6"/>
      <c r="BA182" s="179">
        <f t="shared" si="257"/>
        <v>0.52418333829827823</v>
      </c>
      <c r="BB182" s="179">
        <f t="shared" si="258"/>
        <v>0.33661025347138956</v>
      </c>
      <c r="BC182" s="179">
        <f t="shared" si="259"/>
        <v>0.60577355448468995</v>
      </c>
      <c r="BD182" s="179"/>
      <c r="BE182" s="546">
        <f t="shared" si="260"/>
        <v>9.6168860252334509E-2</v>
      </c>
      <c r="BF182" s="546">
        <f t="shared" si="261"/>
        <v>3.8696808510638288E-2</v>
      </c>
      <c r="BG182" s="546">
        <f t="shared" si="262"/>
        <v>1.7451994443471687E-3</v>
      </c>
      <c r="BH182" s="546">
        <f t="shared" si="263"/>
        <v>8.1889120927380026E-3</v>
      </c>
      <c r="BI182">
        <f t="shared" si="264"/>
        <v>2.8999999999999998E-3</v>
      </c>
      <c r="BK182" s="472">
        <f t="shared" si="265"/>
        <v>147.69978030005799</v>
      </c>
      <c r="BL182" s="179">
        <f t="shared" si="266"/>
        <v>2.3759999999999996E-2</v>
      </c>
      <c r="BM182" s="179">
        <f t="shared" si="267"/>
        <v>4.3199999999999995E-2</v>
      </c>
      <c r="BN182" s="546"/>
      <c r="BP182" s="472">
        <f t="shared" si="268"/>
        <v>66.959999999999994</v>
      </c>
      <c r="BQ182" s="546">
        <f t="shared" si="269"/>
        <v>5.4953634429905446E-2</v>
      </c>
      <c r="BR182" s="546">
        <f t="shared" si="270"/>
        <v>2.2661292548414629E-2</v>
      </c>
      <c r="BS182" s="546">
        <f t="shared" si="271"/>
        <v>3.6696159931301563E-2</v>
      </c>
      <c r="BT182" s="546">
        <f t="shared" si="272"/>
        <v>1.3926862161630837E-2</v>
      </c>
      <c r="BU182" s="546"/>
      <c r="BV182" s="656">
        <f t="shared" si="309"/>
        <v>3.0070683090705486E-2</v>
      </c>
      <c r="BW182" s="472">
        <f t="shared" si="273"/>
        <v>158.30863216195795</v>
      </c>
      <c r="BX182" s="179">
        <f t="shared" si="274"/>
        <v>0.37296841246201595</v>
      </c>
      <c r="BY182" s="6">
        <f t="shared" si="275"/>
        <v>3.6287999999999996</v>
      </c>
      <c r="BZ182" s="179">
        <f t="shared" si="276"/>
        <v>0.90679910129218244</v>
      </c>
      <c r="CA182" s="6">
        <f t="shared" si="277"/>
        <v>90.679910129218243</v>
      </c>
      <c r="CB182">
        <f t="shared" si="278"/>
        <v>72</v>
      </c>
      <c r="CD182" s="581">
        <f t="shared" si="310"/>
        <v>-50</v>
      </c>
      <c r="CE182">
        <f t="shared" si="311"/>
        <v>-50</v>
      </c>
    </row>
    <row r="183" spans="5:83" x14ac:dyDescent="0.2">
      <c r="E183" s="176">
        <v>73</v>
      </c>
      <c r="F183" s="223">
        <f t="shared" si="312"/>
        <v>8.0299999999999996E-2</v>
      </c>
      <c r="G183" s="223">
        <f t="shared" si="279"/>
        <v>0.14599999999999999</v>
      </c>
      <c r="H183" s="223">
        <f t="shared" si="280"/>
        <v>1.9272</v>
      </c>
      <c r="I183" s="223">
        <f t="shared" si="281"/>
        <v>1.7519999999999998</v>
      </c>
      <c r="J183" s="559">
        <f t="shared" si="282"/>
        <v>10</v>
      </c>
      <c r="K183" s="454">
        <f t="shared" si="283"/>
        <v>24.25</v>
      </c>
      <c r="L183" s="454">
        <f t="shared" si="284"/>
        <v>34.25</v>
      </c>
      <c r="M183" s="454"/>
      <c r="N183" s="223">
        <f t="shared" si="285"/>
        <v>0.70802919708029199</v>
      </c>
      <c r="O183" s="178">
        <f t="shared" si="286"/>
        <v>2.5543839068474097</v>
      </c>
      <c r="P183" s="178">
        <f t="shared" si="287"/>
        <v>4.4332282680822832</v>
      </c>
      <c r="Q183" s="223">
        <f t="shared" si="288"/>
        <v>0.10643266278530873</v>
      </c>
      <c r="R183" s="223">
        <f t="shared" si="289"/>
        <v>0.21286532557061746</v>
      </c>
      <c r="S183" s="223">
        <f t="shared" si="290"/>
        <v>24</v>
      </c>
      <c r="T183" s="223">
        <f t="shared" si="291"/>
        <v>1.0939780792186651</v>
      </c>
      <c r="U183" s="223">
        <f t="shared" si="292"/>
        <v>5.1416969723277255</v>
      </c>
      <c r="V183" s="223">
        <f t="shared" si="293"/>
        <v>2.1202874112691652</v>
      </c>
      <c r="W183" s="203">
        <f t="shared" si="294"/>
        <v>350</v>
      </c>
      <c r="X183" s="454">
        <f t="shared" si="295"/>
        <v>137.70340821150262</v>
      </c>
      <c r="Z183" s="223">
        <f t="shared" si="296"/>
        <v>0.43041288576309544</v>
      </c>
      <c r="AA183" s="179">
        <f t="shared" si="297"/>
        <v>0.83420229405630864</v>
      </c>
      <c r="AB183" s="179">
        <f t="shared" si="298"/>
        <v>3.2913046530372254E-2</v>
      </c>
      <c r="AC183" s="179"/>
      <c r="AD183" s="179">
        <f t="shared" si="299"/>
        <v>0.56206185567010303</v>
      </c>
      <c r="AE183" s="563">
        <f t="shared" si="300"/>
        <v>985.288536949427</v>
      </c>
      <c r="AF183" s="546">
        <f t="shared" si="301"/>
        <v>2.8524639175257726E-2</v>
      </c>
      <c r="AH183" s="179">
        <f t="shared" si="302"/>
        <v>0.66881921992132543</v>
      </c>
      <c r="AI183" s="179">
        <f t="shared" si="303"/>
        <v>1.0939780792186651</v>
      </c>
      <c r="AJ183" s="179">
        <f t="shared" si="304"/>
        <v>1.7955393179397516</v>
      </c>
      <c r="AL183" s="563">
        <f t="shared" si="305"/>
        <v>80.3</v>
      </c>
      <c r="AM183" s="472">
        <f t="shared" si="306"/>
        <v>137.70340821150262</v>
      </c>
      <c r="AO183">
        <f t="shared" si="307"/>
        <v>80.3</v>
      </c>
      <c r="AP183">
        <f t="shared" si="308"/>
        <v>137.70340821150262</v>
      </c>
      <c r="AR183" s="6">
        <f t="shared" si="233"/>
        <v>7.261984383596892</v>
      </c>
      <c r="AS183" s="6">
        <f t="shared" si="313"/>
        <v>5.1416969723277255</v>
      </c>
      <c r="AT183" s="6">
        <f t="shared" si="314"/>
        <v>2.1202874112691665</v>
      </c>
      <c r="AU183" s="179">
        <f t="shared" si="315"/>
        <v>0.70802919708029188</v>
      </c>
      <c r="AW183" s="6">
        <f t="shared" si="254"/>
        <v>1.720326111991318</v>
      </c>
      <c r="AX183" s="6">
        <f t="shared" si="255"/>
        <v>6.2557313163320662</v>
      </c>
      <c r="AY183" s="6">
        <f t="shared" si="256"/>
        <v>0.71688033315753286</v>
      </c>
      <c r="AZ183" s="6"/>
      <c r="BA183" s="179">
        <f t="shared" si="257"/>
        <v>0.53146366244130994</v>
      </c>
      <c r="BB183" s="179">
        <f t="shared" si="258"/>
        <v>0.34128539588071444</v>
      </c>
      <c r="BC183" s="179">
        <f t="shared" si="259"/>
        <v>0.6141870760747552</v>
      </c>
      <c r="BD183" s="179"/>
      <c r="BE183" s="546">
        <f t="shared" si="260"/>
        <v>9.8858768573435715E-2</v>
      </c>
      <c r="BF183" s="546">
        <f t="shared" si="261"/>
        <v>3.8696808510638288E-2</v>
      </c>
      <c r="BG183" s="546">
        <f t="shared" si="262"/>
        <v>1.7212926026437827E-3</v>
      </c>
      <c r="BH183" s="546">
        <f t="shared" si="263"/>
        <v>8.0767352147552898E-3</v>
      </c>
      <c r="BI183">
        <f t="shared" si="264"/>
        <v>2.8999999999999998E-3</v>
      </c>
      <c r="BK183" s="472">
        <f t="shared" si="265"/>
        <v>150.2536049014731</v>
      </c>
      <c r="BL183" s="179">
        <f t="shared" si="266"/>
        <v>2.4089999999999997E-2</v>
      </c>
      <c r="BM183" s="179">
        <f t="shared" si="267"/>
        <v>4.3799999999999999E-2</v>
      </c>
      <c r="BN183" s="546"/>
      <c r="BP183" s="472">
        <f t="shared" si="268"/>
        <v>67.889999999999986</v>
      </c>
      <c r="BQ183" s="546">
        <f t="shared" si="269"/>
        <v>5.6490724899106129E-2</v>
      </c>
      <c r="BR183" s="546">
        <f t="shared" si="270"/>
        <v>2.3295144288291197E-2</v>
      </c>
      <c r="BS183" s="546">
        <f t="shared" si="271"/>
        <v>3.7722576441725719E-2</v>
      </c>
      <c r="BT183" s="546">
        <f t="shared" si="272"/>
        <v>1.3926862161630837E-2</v>
      </c>
      <c r="BU183" s="546"/>
      <c r="BV183" s="656">
        <f t="shared" si="309"/>
        <v>3.0488331466965283E-2</v>
      </c>
      <c r="BW183" s="472">
        <f t="shared" si="273"/>
        <v>161.92363925771917</v>
      </c>
      <c r="BX183" s="179">
        <f t="shared" si="274"/>
        <v>0.3800672441591923</v>
      </c>
      <c r="BY183" s="6">
        <f t="shared" si="275"/>
        <v>3.6791999999999998</v>
      </c>
      <c r="BZ183" s="179">
        <f t="shared" si="276"/>
        <v>0.90637047986774855</v>
      </c>
      <c r="CA183" s="6">
        <f t="shared" si="277"/>
        <v>90.63704798677486</v>
      </c>
      <c r="CB183">
        <f t="shared" si="278"/>
        <v>73</v>
      </c>
      <c r="CD183" s="581">
        <f t="shared" si="310"/>
        <v>-50</v>
      </c>
      <c r="CE183">
        <f t="shared" si="311"/>
        <v>-50</v>
      </c>
    </row>
    <row r="184" spans="5:83" x14ac:dyDescent="0.2">
      <c r="E184" s="176">
        <v>74</v>
      </c>
      <c r="F184" s="223">
        <f t="shared" si="312"/>
        <v>8.14E-2</v>
      </c>
      <c r="G184" s="223">
        <f t="shared" si="279"/>
        <v>0.14799999999999999</v>
      </c>
      <c r="H184" s="223">
        <f t="shared" si="280"/>
        <v>1.9536</v>
      </c>
      <c r="I184" s="223">
        <f t="shared" si="281"/>
        <v>1.7759999999999998</v>
      </c>
      <c r="J184" s="559">
        <f t="shared" si="282"/>
        <v>10</v>
      </c>
      <c r="K184" s="454">
        <f t="shared" si="283"/>
        <v>24.25</v>
      </c>
      <c r="L184" s="454">
        <f t="shared" si="284"/>
        <v>34.25</v>
      </c>
      <c r="M184" s="454"/>
      <c r="N184" s="223">
        <f t="shared" si="285"/>
        <v>0.70802919708029199</v>
      </c>
      <c r="O184" s="178">
        <f t="shared" si="286"/>
        <v>2.5543839068474097</v>
      </c>
      <c r="P184" s="178">
        <f t="shared" si="287"/>
        <v>4.4332282680822832</v>
      </c>
      <c r="Q184" s="223">
        <f t="shared" si="288"/>
        <v>0.10643266278530873</v>
      </c>
      <c r="R184" s="223">
        <f t="shared" si="289"/>
        <v>0.21286532557061746</v>
      </c>
      <c r="S184" s="223">
        <f t="shared" si="290"/>
        <v>24</v>
      </c>
      <c r="T184" s="223">
        <f t="shared" si="291"/>
        <v>1.1089640803038523</v>
      </c>
      <c r="U184" s="223">
        <f t="shared" si="292"/>
        <v>5.2121311774281054</v>
      </c>
      <c r="V184" s="223">
        <f t="shared" si="293"/>
        <v>2.1493324443002497</v>
      </c>
      <c r="W184" s="203">
        <f t="shared" si="294"/>
        <v>350</v>
      </c>
      <c r="X184" s="454">
        <f t="shared" si="295"/>
        <v>135.84255134377963</v>
      </c>
      <c r="Z184" s="223">
        <f t="shared" si="296"/>
        <v>0.43041288576309544</v>
      </c>
      <c r="AA184" s="179">
        <f t="shared" si="297"/>
        <v>0.83420229405630864</v>
      </c>
      <c r="AB184" s="179">
        <f t="shared" si="298"/>
        <v>3.2913046530372254E-2</v>
      </c>
      <c r="AC184" s="179"/>
      <c r="AD184" s="179">
        <f t="shared" si="299"/>
        <v>0.56206185567010303</v>
      </c>
      <c r="AE184" s="563">
        <f t="shared" si="300"/>
        <v>998.78564019530984</v>
      </c>
      <c r="AF184" s="546">
        <f t="shared" si="301"/>
        <v>2.8524639175257726E-2</v>
      </c>
      <c r="AH184" s="179">
        <f t="shared" si="302"/>
        <v>0.67338459182746246</v>
      </c>
      <c r="AI184" s="179">
        <f t="shared" si="303"/>
        <v>1.1089640803038523</v>
      </c>
      <c r="AJ184" s="179">
        <f t="shared" si="304"/>
        <v>1.806640059484335</v>
      </c>
      <c r="AL184" s="563">
        <f t="shared" si="305"/>
        <v>81.400000000000006</v>
      </c>
      <c r="AM184" s="472">
        <f t="shared" si="306"/>
        <v>135.84255134377963</v>
      </c>
      <c r="AO184">
        <f t="shared" si="307"/>
        <v>81.400000000000006</v>
      </c>
      <c r="AP184">
        <f t="shared" si="308"/>
        <v>135.84255134377963</v>
      </c>
      <c r="AR184" s="6">
        <f t="shared" si="233"/>
        <v>7.3614636217283547</v>
      </c>
      <c r="AS184" s="6">
        <f t="shared" si="313"/>
        <v>5.2121311774281054</v>
      </c>
      <c r="AT184" s="6">
        <f t="shared" si="314"/>
        <v>2.1493324443002493</v>
      </c>
      <c r="AU184" s="179">
        <f t="shared" si="315"/>
        <v>0.70802919708029199</v>
      </c>
      <c r="AW184" s="6">
        <f t="shared" si="254"/>
        <v>1.7677811576776992</v>
      </c>
      <c r="AX184" s="6">
        <f t="shared" si="255"/>
        <v>6.4282951188279958</v>
      </c>
      <c r="AY184" s="6">
        <f t="shared" si="256"/>
        <v>0.73665541459385386</v>
      </c>
      <c r="AZ184" s="6"/>
      <c r="BA184" s="179">
        <f t="shared" si="257"/>
        <v>0.53874398658434164</v>
      </c>
      <c r="BB184" s="179">
        <f t="shared" si="258"/>
        <v>0.34596053829003925</v>
      </c>
      <c r="BC184" s="179">
        <f t="shared" si="259"/>
        <v>0.62260059766482023</v>
      </c>
      <c r="BD184" s="179"/>
      <c r="BE184" s="546">
        <f t="shared" si="260"/>
        <v>0.10158577907827625</v>
      </c>
      <c r="BF184" s="546">
        <f t="shared" si="261"/>
        <v>3.8696808510638295E-2</v>
      </c>
      <c r="BG184" s="546">
        <f t="shared" si="262"/>
        <v>1.6980318917972452E-3</v>
      </c>
      <c r="BH184" s="546">
        <f t="shared" si="263"/>
        <v>7.9675901442856235E-3</v>
      </c>
      <c r="BI184">
        <f t="shared" si="264"/>
        <v>2.8999999999999998E-3</v>
      </c>
      <c r="BK184" s="472">
        <f t="shared" si="265"/>
        <v>152.84820962499739</v>
      </c>
      <c r="BL184" s="179">
        <f t="shared" si="266"/>
        <v>2.4420000000000001E-2</v>
      </c>
      <c r="BM184" s="179">
        <f t="shared" si="267"/>
        <v>4.4399999999999995E-2</v>
      </c>
      <c r="BN184" s="546"/>
      <c r="BP184" s="472">
        <f t="shared" si="268"/>
        <v>68.819999999999993</v>
      </c>
      <c r="BQ184" s="546">
        <f t="shared" si="269"/>
        <v>5.8049016616157856E-2</v>
      </c>
      <c r="BR184" s="546">
        <f t="shared" si="270"/>
        <v>2.3937738810786743E-2</v>
      </c>
      <c r="BS184" s="546">
        <f t="shared" si="271"/>
        <v>3.8763150421259135E-2</v>
      </c>
      <c r="BT184" s="546">
        <f t="shared" si="272"/>
        <v>1.392686216163086E-2</v>
      </c>
      <c r="BU184" s="546"/>
      <c r="BV184" s="656">
        <f t="shared" si="309"/>
        <v>3.090597984322508E-2</v>
      </c>
      <c r="BW184" s="472">
        <f t="shared" si="273"/>
        <v>165.58274785305966</v>
      </c>
      <c r="BX184" s="179">
        <f t="shared" si="274"/>
        <v>0.38725095747805705</v>
      </c>
      <c r="BY184" s="6">
        <f t="shared" si="275"/>
        <v>3.7295999999999996</v>
      </c>
      <c r="BZ184" s="179">
        <f t="shared" si="276"/>
        <v>0.9059351525042133</v>
      </c>
      <c r="CA184" s="6">
        <f t="shared" si="277"/>
        <v>90.593515250421333</v>
      </c>
      <c r="CB184">
        <f t="shared" si="278"/>
        <v>74</v>
      </c>
      <c r="CD184" s="581">
        <f t="shared" si="310"/>
        <v>-50</v>
      </c>
      <c r="CE184">
        <f t="shared" si="311"/>
        <v>-50</v>
      </c>
    </row>
    <row r="185" spans="5:83" x14ac:dyDescent="0.2">
      <c r="E185" s="176">
        <v>75</v>
      </c>
      <c r="F185" s="223">
        <f t="shared" si="312"/>
        <v>8.2500000000000004E-2</v>
      </c>
      <c r="G185" s="223">
        <f t="shared" si="279"/>
        <v>0.15000000000000002</v>
      </c>
      <c r="H185" s="223">
        <f t="shared" si="280"/>
        <v>1.98</v>
      </c>
      <c r="I185" s="223">
        <f t="shared" si="281"/>
        <v>1.8000000000000003</v>
      </c>
      <c r="J185" s="559">
        <f t="shared" si="282"/>
        <v>10</v>
      </c>
      <c r="K185" s="454">
        <f t="shared" si="283"/>
        <v>24.25</v>
      </c>
      <c r="L185" s="454">
        <f t="shared" si="284"/>
        <v>34.25</v>
      </c>
      <c r="M185" s="454"/>
      <c r="N185" s="223">
        <f t="shared" si="285"/>
        <v>0.70802919708029199</v>
      </c>
      <c r="O185" s="178">
        <f t="shared" si="286"/>
        <v>2.5543839068474097</v>
      </c>
      <c r="P185" s="178">
        <f t="shared" si="287"/>
        <v>4.4332282680822832</v>
      </c>
      <c r="Q185" s="223">
        <f t="shared" si="288"/>
        <v>0.10643266278530873</v>
      </c>
      <c r="R185" s="223">
        <f t="shared" si="289"/>
        <v>0.21286532557061746</v>
      </c>
      <c r="S185" s="223">
        <f t="shared" si="290"/>
        <v>24</v>
      </c>
      <c r="T185" s="223">
        <f t="shared" si="291"/>
        <v>1.1239500813890397</v>
      </c>
      <c r="U185" s="223">
        <f t="shared" si="292"/>
        <v>5.2825653825284871</v>
      </c>
      <c r="V185" s="223">
        <f t="shared" si="293"/>
        <v>2.1783774773313342</v>
      </c>
      <c r="W185" s="203">
        <f t="shared" si="294"/>
        <v>350</v>
      </c>
      <c r="X185" s="454">
        <f t="shared" si="295"/>
        <v>134.03131732586252</v>
      </c>
      <c r="Z185" s="223">
        <f t="shared" si="296"/>
        <v>0.43041288576309544</v>
      </c>
      <c r="AA185" s="179">
        <f t="shared" si="297"/>
        <v>0.83420229405630864</v>
      </c>
      <c r="AB185" s="179">
        <f t="shared" si="298"/>
        <v>3.2913046530372254E-2</v>
      </c>
      <c r="AC185" s="179"/>
      <c r="AD185" s="179">
        <f t="shared" si="299"/>
        <v>0.56206185567010303</v>
      </c>
      <c r="AE185" s="563">
        <f t="shared" si="300"/>
        <v>1012.2827434411925</v>
      </c>
      <c r="AF185" s="546">
        <f t="shared" si="301"/>
        <v>2.8524639175257726E-2</v>
      </c>
      <c r="AH185" s="179">
        <f t="shared" si="302"/>
        <v>0.6779192194392385</v>
      </c>
      <c r="AI185" s="179">
        <f t="shared" si="303"/>
        <v>1.1239500813890397</v>
      </c>
      <c r="AJ185" s="179">
        <f t="shared" si="304"/>
        <v>1.8177408010289182</v>
      </c>
      <c r="AL185" s="563">
        <f t="shared" si="305"/>
        <v>82.5</v>
      </c>
      <c r="AM185" s="472">
        <f t="shared" si="306"/>
        <v>134.03131732586252</v>
      </c>
      <c r="AO185">
        <f t="shared" si="307"/>
        <v>82.5</v>
      </c>
      <c r="AP185">
        <f t="shared" si="308"/>
        <v>134.03131732586252</v>
      </c>
      <c r="AR185" s="6">
        <f t="shared" si="233"/>
        <v>7.4609428598598218</v>
      </c>
      <c r="AS185" s="6">
        <f t="shared" si="313"/>
        <v>5.2825653825284871</v>
      </c>
      <c r="AT185" s="6">
        <f t="shared" si="314"/>
        <v>2.1783774773313347</v>
      </c>
      <c r="AU185" s="179">
        <f t="shared" si="315"/>
        <v>0.70802919708029199</v>
      </c>
      <c r="AW185" s="6">
        <f t="shared" si="254"/>
        <v>1.8158818502441674</v>
      </c>
      <c r="AX185" s="6">
        <f t="shared" si="255"/>
        <v>6.6032067281606102</v>
      </c>
      <c r="AY185" s="6">
        <f t="shared" si="256"/>
        <v>0.75669954475720047</v>
      </c>
      <c r="AZ185" s="6"/>
      <c r="BA185" s="179">
        <f t="shared" si="257"/>
        <v>0.54602431072737345</v>
      </c>
      <c r="BB185" s="179">
        <f t="shared" si="258"/>
        <v>0.35063568069936418</v>
      </c>
      <c r="BC185" s="179">
        <f t="shared" si="259"/>
        <v>0.63101411925488549</v>
      </c>
      <c r="BD185" s="179"/>
      <c r="BE185" s="546">
        <f t="shared" si="260"/>
        <v>0.10434989176685613</v>
      </c>
      <c r="BF185" s="546">
        <f t="shared" si="261"/>
        <v>3.8696808510638288E-2</v>
      </c>
      <c r="BG185" s="546">
        <f t="shared" si="262"/>
        <v>1.6753914665732816E-3</v>
      </c>
      <c r="BH185" s="546">
        <f t="shared" si="263"/>
        <v>7.8613556090284809E-3</v>
      </c>
      <c r="BI185">
        <f t="shared" si="264"/>
        <v>2.8999999999999998E-3</v>
      </c>
      <c r="BK185" s="472">
        <f t="shared" si="265"/>
        <v>155.48344735309615</v>
      </c>
      <c r="BL185" s="179">
        <f t="shared" si="266"/>
        <v>2.4750000000000001E-2</v>
      </c>
      <c r="BM185" s="179">
        <f t="shared" si="267"/>
        <v>4.5000000000000005E-2</v>
      </c>
      <c r="BN185" s="546"/>
      <c r="BP185" s="472">
        <f t="shared" si="268"/>
        <v>69.75</v>
      </c>
      <c r="BQ185" s="546">
        <f t="shared" si="269"/>
        <v>5.9628509581060654E-2</v>
      </c>
      <c r="BR185" s="546">
        <f t="shared" si="270"/>
        <v>2.4589076115901297E-2</v>
      </c>
      <c r="BS185" s="546">
        <f t="shared" si="271"/>
        <v>3.9817881869901886E-2</v>
      </c>
      <c r="BT185" s="546">
        <f t="shared" si="272"/>
        <v>1.3926862161630813E-2</v>
      </c>
      <c r="BU185" s="546"/>
      <c r="BV185" s="656">
        <f t="shared" si="309"/>
        <v>3.1323628219484888E-2</v>
      </c>
      <c r="BW185" s="472">
        <f t="shared" si="273"/>
        <v>169.28595794797954</v>
      </c>
      <c r="BX185" s="179">
        <f t="shared" si="274"/>
        <v>0.39451940530107565</v>
      </c>
      <c r="BY185" s="6">
        <f t="shared" si="275"/>
        <v>3.7800000000000002</v>
      </c>
      <c r="BZ185" s="179">
        <f t="shared" si="276"/>
        <v>0.90549345517472268</v>
      </c>
      <c r="CA185" s="6">
        <f t="shared" si="277"/>
        <v>90.549345517472261</v>
      </c>
      <c r="CB185">
        <f t="shared" si="278"/>
        <v>75</v>
      </c>
      <c r="CD185" s="581">
        <f t="shared" si="310"/>
        <v>-50</v>
      </c>
      <c r="CE185">
        <f t="shared" si="311"/>
        <v>-50</v>
      </c>
    </row>
    <row r="186" spans="5:83" x14ac:dyDescent="0.2">
      <c r="E186" s="176">
        <v>76</v>
      </c>
      <c r="F186" s="223">
        <f t="shared" si="312"/>
        <v>8.3600000000000008E-2</v>
      </c>
      <c r="G186" s="223">
        <f t="shared" si="279"/>
        <v>0.15200000000000002</v>
      </c>
      <c r="H186" s="223">
        <f t="shared" si="280"/>
        <v>2.0064000000000002</v>
      </c>
      <c r="I186" s="223">
        <f t="shared" si="281"/>
        <v>1.8240000000000003</v>
      </c>
      <c r="J186" s="559">
        <f t="shared" si="282"/>
        <v>10</v>
      </c>
      <c r="K186" s="454">
        <f t="shared" si="283"/>
        <v>24.25</v>
      </c>
      <c r="L186" s="454">
        <f t="shared" si="284"/>
        <v>34.25</v>
      </c>
      <c r="M186" s="454"/>
      <c r="N186" s="223">
        <f t="shared" si="285"/>
        <v>0.70802919708029199</v>
      </c>
      <c r="O186" s="178">
        <f t="shared" si="286"/>
        <v>2.5543839068474097</v>
      </c>
      <c r="P186" s="178">
        <f t="shared" si="287"/>
        <v>4.4332282680822832</v>
      </c>
      <c r="Q186" s="223">
        <f t="shared" si="288"/>
        <v>0.10643266278530873</v>
      </c>
      <c r="R186" s="223">
        <f t="shared" si="289"/>
        <v>0.21286532557061746</v>
      </c>
      <c r="S186" s="223">
        <f t="shared" si="290"/>
        <v>24</v>
      </c>
      <c r="T186" s="223">
        <f t="shared" si="291"/>
        <v>1.138936082474227</v>
      </c>
      <c r="U186" s="223">
        <f t="shared" si="292"/>
        <v>5.352999587628867</v>
      </c>
      <c r="V186" s="223">
        <f t="shared" si="293"/>
        <v>2.2074225103624192</v>
      </c>
      <c r="W186" s="203">
        <f t="shared" si="294"/>
        <v>350</v>
      </c>
      <c r="X186" s="454">
        <f t="shared" si="295"/>
        <v>132.26774736104855</v>
      </c>
      <c r="Z186" s="223">
        <f t="shared" si="296"/>
        <v>0.43041288576309544</v>
      </c>
      <c r="AA186" s="179">
        <f t="shared" si="297"/>
        <v>0.83420229405630864</v>
      </c>
      <c r="AB186" s="179">
        <f t="shared" si="298"/>
        <v>3.2913046530372254E-2</v>
      </c>
      <c r="AC186" s="179"/>
      <c r="AD186" s="179">
        <f t="shared" si="299"/>
        <v>0.56206185567010303</v>
      </c>
      <c r="AE186" s="563">
        <f t="shared" si="300"/>
        <v>1025.779846687075</v>
      </c>
      <c r="AF186" s="546">
        <f t="shared" si="301"/>
        <v>2.8524639175257726E-2</v>
      </c>
      <c r="AH186" s="179">
        <f t="shared" si="302"/>
        <v>0.68242371563389748</v>
      </c>
      <c r="AI186" s="179">
        <f t="shared" si="303"/>
        <v>1.138936082474227</v>
      </c>
      <c r="AJ186" s="179">
        <f t="shared" si="304"/>
        <v>1.8288415425735014</v>
      </c>
      <c r="AL186" s="563">
        <f t="shared" si="305"/>
        <v>83.600000000000009</v>
      </c>
      <c r="AM186" s="472">
        <f t="shared" si="306"/>
        <v>132.26774736104855</v>
      </c>
      <c r="AO186">
        <f t="shared" si="307"/>
        <v>83.600000000000009</v>
      </c>
      <c r="AP186">
        <f t="shared" si="308"/>
        <v>132.26774736104855</v>
      </c>
      <c r="AR186" s="6">
        <f t="shared" si="233"/>
        <v>7.5604220979912862</v>
      </c>
      <c r="AS186" s="6">
        <f t="shared" si="313"/>
        <v>5.352999587628867</v>
      </c>
      <c r="AT186" s="6">
        <f t="shared" si="314"/>
        <v>2.2074225103624192</v>
      </c>
      <c r="AU186" s="179">
        <f t="shared" si="315"/>
        <v>0.70802919708029199</v>
      </c>
      <c r="AW186" s="6">
        <f t="shared" si="254"/>
        <v>1.8646281896907222</v>
      </c>
      <c r="AX186" s="6">
        <f t="shared" si="255"/>
        <v>6.7804661443298988</v>
      </c>
      <c r="AY186" s="6">
        <f t="shared" si="256"/>
        <v>0.77701272364757146</v>
      </c>
      <c r="AZ186" s="6"/>
      <c r="BA186" s="179">
        <f t="shared" si="257"/>
        <v>0.55330463487040504</v>
      </c>
      <c r="BB186" s="179">
        <f t="shared" si="258"/>
        <v>0.35531082310868906</v>
      </c>
      <c r="BC186" s="179">
        <f t="shared" si="259"/>
        <v>0.63942764084495074</v>
      </c>
      <c r="BD186" s="179"/>
      <c r="BE186" s="546">
        <f t="shared" si="260"/>
        <v>0.10715110663917528</v>
      </c>
      <c r="BF186" s="546">
        <f t="shared" si="261"/>
        <v>3.8696808510638295E-2</v>
      </c>
      <c r="BG186" s="546">
        <f t="shared" si="262"/>
        <v>1.6533468420131068E-3</v>
      </c>
      <c r="BH186" s="546">
        <f t="shared" si="263"/>
        <v>7.7579167194360005E-3</v>
      </c>
      <c r="BI186">
        <f t="shared" si="264"/>
        <v>2.8999999999999998E-3</v>
      </c>
      <c r="BK186" s="472">
        <f t="shared" si="265"/>
        <v>158.15917871126268</v>
      </c>
      <c r="BL186" s="179">
        <f t="shared" si="266"/>
        <v>2.5080000000000002E-2</v>
      </c>
      <c r="BM186" s="179">
        <f t="shared" si="267"/>
        <v>4.5600000000000009E-2</v>
      </c>
      <c r="BN186" s="546"/>
      <c r="BP186" s="472">
        <f t="shared" si="268"/>
        <v>70.680000000000007</v>
      </c>
      <c r="BQ186" s="546">
        <f t="shared" si="269"/>
        <v>6.1229203793814448E-2</v>
      </c>
      <c r="BR186" s="546">
        <f t="shared" si="270"/>
        <v>2.5249156203634826E-2</v>
      </c>
      <c r="BS186" s="546">
        <f t="shared" si="271"/>
        <v>4.0886770787653931E-2</v>
      </c>
      <c r="BT186" s="546">
        <f t="shared" si="272"/>
        <v>1.3926862161630839E-2</v>
      </c>
      <c r="BU186" s="546"/>
      <c r="BV186" s="656">
        <f t="shared" si="309"/>
        <v>3.1741276595744689E-2</v>
      </c>
      <c r="BW186" s="472">
        <f t="shared" si="273"/>
        <v>173.03326954247871</v>
      </c>
      <c r="BX186" s="179">
        <f t="shared" si="274"/>
        <v>0.40187244825374135</v>
      </c>
      <c r="BY186" s="6">
        <f t="shared" si="275"/>
        <v>3.8304000000000005</v>
      </c>
      <c r="BZ186" s="179">
        <f t="shared" si="276"/>
        <v>0.90504570460260514</v>
      </c>
      <c r="CA186" s="6">
        <f t="shared" si="277"/>
        <v>90.50457046026051</v>
      </c>
      <c r="CB186">
        <f t="shared" si="278"/>
        <v>76.000000000000014</v>
      </c>
      <c r="CD186" s="581">
        <f t="shared" si="310"/>
        <v>-50</v>
      </c>
      <c r="CE186">
        <f t="shared" si="311"/>
        <v>-50</v>
      </c>
    </row>
    <row r="187" spans="5:83" x14ac:dyDescent="0.2">
      <c r="E187" s="176">
        <v>77</v>
      </c>
      <c r="F187" s="223">
        <f t="shared" si="312"/>
        <v>8.4699999999999998E-2</v>
      </c>
      <c r="G187" s="223">
        <f t="shared" si="279"/>
        <v>0.15400000000000003</v>
      </c>
      <c r="H187" s="223">
        <f t="shared" si="280"/>
        <v>2.0327999999999999</v>
      </c>
      <c r="I187" s="223">
        <f t="shared" si="281"/>
        <v>1.8480000000000003</v>
      </c>
      <c r="J187" s="559">
        <f t="shared" si="282"/>
        <v>10</v>
      </c>
      <c r="K187" s="454">
        <f t="shared" si="283"/>
        <v>24.25</v>
      </c>
      <c r="L187" s="454">
        <f t="shared" si="284"/>
        <v>34.25</v>
      </c>
      <c r="M187" s="454"/>
      <c r="N187" s="223">
        <f t="shared" si="285"/>
        <v>0.70802919708029199</v>
      </c>
      <c r="O187" s="178">
        <f t="shared" si="286"/>
        <v>2.5543839068474097</v>
      </c>
      <c r="P187" s="178">
        <f t="shared" si="287"/>
        <v>4.4332282680822832</v>
      </c>
      <c r="Q187" s="223">
        <f t="shared" si="288"/>
        <v>0.10643266278530873</v>
      </c>
      <c r="R187" s="223">
        <f t="shared" si="289"/>
        <v>0.21286532557061746</v>
      </c>
      <c r="S187" s="223">
        <f t="shared" si="290"/>
        <v>24</v>
      </c>
      <c r="T187" s="223">
        <f t="shared" si="291"/>
        <v>1.1539220835594139</v>
      </c>
      <c r="U187" s="223">
        <f t="shared" si="292"/>
        <v>5.423433792729246</v>
      </c>
      <c r="V187" s="223">
        <f t="shared" si="293"/>
        <v>2.2364675433935033</v>
      </c>
      <c r="W187" s="203">
        <f t="shared" si="294"/>
        <v>350</v>
      </c>
      <c r="X187" s="454">
        <f t="shared" si="295"/>
        <v>130.54998440830767</v>
      </c>
      <c r="Z187" s="223">
        <f t="shared" si="296"/>
        <v>0.43041288576309544</v>
      </c>
      <c r="AA187" s="179">
        <f t="shared" si="297"/>
        <v>0.83420229405630864</v>
      </c>
      <c r="AB187" s="179">
        <f t="shared" si="298"/>
        <v>3.2913046530372254E-2</v>
      </c>
      <c r="AC187" s="179"/>
      <c r="AD187" s="179">
        <f t="shared" si="299"/>
        <v>0.56206185567010303</v>
      </c>
      <c r="AE187" s="563">
        <f t="shared" si="300"/>
        <v>1039.2769499329575</v>
      </c>
      <c r="AF187" s="546">
        <f t="shared" si="301"/>
        <v>2.8524639175257726E-2</v>
      </c>
      <c r="AH187" s="179">
        <f t="shared" si="302"/>
        <v>0.68689867319280984</v>
      </c>
      <c r="AI187" s="179">
        <f t="shared" si="303"/>
        <v>1.1539220835594139</v>
      </c>
      <c r="AJ187" s="179">
        <f t="shared" si="304"/>
        <v>1.8399422841180844</v>
      </c>
      <c r="AL187" s="563">
        <f t="shared" si="305"/>
        <v>84.7</v>
      </c>
      <c r="AM187" s="472">
        <f t="shared" si="306"/>
        <v>130.54998440830767</v>
      </c>
      <c r="AO187">
        <f t="shared" si="307"/>
        <v>84.7</v>
      </c>
      <c r="AP187">
        <f t="shared" si="308"/>
        <v>130.54998440830767</v>
      </c>
      <c r="AR187" s="6">
        <f t="shared" si="233"/>
        <v>7.6599013361227497</v>
      </c>
      <c r="AS187" s="6">
        <f t="shared" si="313"/>
        <v>5.423433792729246</v>
      </c>
      <c r="AT187" s="6">
        <f t="shared" si="314"/>
        <v>2.2364675433935037</v>
      </c>
      <c r="AU187" s="179">
        <f t="shared" si="315"/>
        <v>0.70802919708029199</v>
      </c>
      <c r="AW187" s="6">
        <f t="shared" si="254"/>
        <v>1.914020176017363</v>
      </c>
      <c r="AX187" s="6">
        <f t="shared" si="255"/>
        <v>6.960073367335867</v>
      </c>
      <c r="AY187" s="6">
        <f t="shared" si="256"/>
        <v>0.79759495126496727</v>
      </c>
      <c r="AZ187" s="6"/>
      <c r="BA187" s="179">
        <f t="shared" si="257"/>
        <v>0.56058495901343663</v>
      </c>
      <c r="BB187" s="179">
        <f t="shared" si="258"/>
        <v>0.35998596551801382</v>
      </c>
      <c r="BC187" s="179">
        <f t="shared" si="259"/>
        <v>0.64784116243501566</v>
      </c>
      <c r="BD187" s="179"/>
      <c r="BE187" s="546">
        <f t="shared" si="260"/>
        <v>0.10998942369523373</v>
      </c>
      <c r="BF187" s="546">
        <f t="shared" si="261"/>
        <v>3.8696808510638288E-2</v>
      </c>
      <c r="BG187" s="546">
        <f t="shared" si="262"/>
        <v>1.6318748051038457E-3</v>
      </c>
      <c r="BH187" s="546">
        <f t="shared" si="263"/>
        <v>7.6571645542485214E-3</v>
      </c>
      <c r="BI187">
        <f t="shared" si="264"/>
        <v>2.8999999999999998E-3</v>
      </c>
      <c r="BK187" s="472">
        <f t="shared" si="265"/>
        <v>160.87527156522441</v>
      </c>
      <c r="BL187" s="179">
        <f t="shared" si="266"/>
        <v>2.5409999999999999E-2</v>
      </c>
      <c r="BM187" s="179">
        <f t="shared" si="267"/>
        <v>4.6200000000000005E-2</v>
      </c>
      <c r="BN187" s="546"/>
      <c r="BP187" s="472">
        <f t="shared" si="268"/>
        <v>71.610000000000014</v>
      </c>
      <c r="BQ187" s="546">
        <f t="shared" si="269"/>
        <v>6.2851099254419285E-2</v>
      </c>
      <c r="BR187" s="546">
        <f t="shared" si="270"/>
        <v>2.5917979073987324E-2</v>
      </c>
      <c r="BS187" s="546">
        <f t="shared" si="271"/>
        <v>4.1969817174515235E-2</v>
      </c>
      <c r="BT187" s="546">
        <f t="shared" si="272"/>
        <v>1.3926862161630839E-2</v>
      </c>
      <c r="BU187" s="546"/>
      <c r="BV187" s="656">
        <f t="shared" si="309"/>
        <v>3.2158924972004475E-2</v>
      </c>
      <c r="BW187" s="472">
        <f t="shared" si="273"/>
        <v>176.82468263655716</v>
      </c>
      <c r="BX187" s="179">
        <f t="shared" si="274"/>
        <v>0.40930995420178157</v>
      </c>
      <c r="BY187" s="6">
        <f t="shared" si="275"/>
        <v>3.8808000000000002</v>
      </c>
      <c r="BZ187" s="179">
        <f t="shared" si="276"/>
        <v>0.90459219960064219</v>
      </c>
      <c r="CA187" s="6">
        <f t="shared" si="277"/>
        <v>90.459219960064218</v>
      </c>
      <c r="CB187">
        <f t="shared" si="278"/>
        <v>77</v>
      </c>
      <c r="CD187" s="581">
        <f t="shared" si="310"/>
        <v>-50</v>
      </c>
      <c r="CE187">
        <f t="shared" si="311"/>
        <v>-50</v>
      </c>
    </row>
    <row r="188" spans="5:83" x14ac:dyDescent="0.2">
      <c r="E188" s="176">
        <v>78</v>
      </c>
      <c r="F188" s="223">
        <f t="shared" si="312"/>
        <v>8.5800000000000001E-2</v>
      </c>
      <c r="G188" s="223">
        <f t="shared" si="279"/>
        <v>0.15600000000000003</v>
      </c>
      <c r="H188" s="223">
        <f t="shared" si="280"/>
        <v>2.0592000000000001</v>
      </c>
      <c r="I188" s="223">
        <f t="shared" si="281"/>
        <v>1.8720000000000003</v>
      </c>
      <c r="J188" s="559">
        <f t="shared" si="282"/>
        <v>10</v>
      </c>
      <c r="K188" s="454">
        <f t="shared" si="283"/>
        <v>24.25</v>
      </c>
      <c r="L188" s="454">
        <f t="shared" si="284"/>
        <v>34.25</v>
      </c>
      <c r="M188" s="454"/>
      <c r="N188" s="223">
        <f t="shared" si="285"/>
        <v>0.70802919708029199</v>
      </c>
      <c r="O188" s="178">
        <f t="shared" si="286"/>
        <v>2.5543839068474097</v>
      </c>
      <c r="P188" s="178">
        <f t="shared" si="287"/>
        <v>4.4332282680822832</v>
      </c>
      <c r="Q188" s="223">
        <f t="shared" si="288"/>
        <v>0.10643266278530873</v>
      </c>
      <c r="R188" s="223">
        <f t="shared" si="289"/>
        <v>0.21286532557061746</v>
      </c>
      <c r="S188" s="223">
        <f t="shared" si="290"/>
        <v>24</v>
      </c>
      <c r="T188" s="223">
        <f t="shared" si="291"/>
        <v>1.1689080846446014</v>
      </c>
      <c r="U188" s="223">
        <f t="shared" si="292"/>
        <v>5.4938679978296259</v>
      </c>
      <c r="V188" s="223">
        <f t="shared" si="293"/>
        <v>2.2655125764245878</v>
      </c>
      <c r="W188" s="203">
        <f t="shared" si="294"/>
        <v>350</v>
      </c>
      <c r="X188" s="454">
        <f t="shared" si="295"/>
        <v>128.87626665948321</v>
      </c>
      <c r="Z188" s="223">
        <f t="shared" si="296"/>
        <v>0.43041288576309544</v>
      </c>
      <c r="AA188" s="179">
        <f t="shared" si="297"/>
        <v>0.83420229405630864</v>
      </c>
      <c r="AB188" s="179">
        <f t="shared" si="298"/>
        <v>3.2913046530372254E-2</v>
      </c>
      <c r="AC188" s="179"/>
      <c r="AD188" s="179">
        <f t="shared" si="299"/>
        <v>0.56206185567010303</v>
      </c>
      <c r="AE188" s="563">
        <f t="shared" si="300"/>
        <v>1052.7740531788402</v>
      </c>
      <c r="AF188" s="546">
        <f t="shared" si="301"/>
        <v>2.8524639175257726E-2</v>
      </c>
      <c r="AH188" s="179">
        <f t="shared" si="302"/>
        <v>0.69134466571205333</v>
      </c>
      <c r="AI188" s="179">
        <f t="shared" si="303"/>
        <v>1.1689080846446014</v>
      </c>
      <c r="AJ188" s="179">
        <f t="shared" si="304"/>
        <v>1.8510430256626675</v>
      </c>
      <c r="AL188" s="563">
        <f t="shared" si="305"/>
        <v>85.8</v>
      </c>
      <c r="AM188" s="472">
        <f t="shared" si="306"/>
        <v>128.87626665948321</v>
      </c>
      <c r="AO188">
        <f t="shared" si="307"/>
        <v>85.8</v>
      </c>
      <c r="AP188">
        <f t="shared" si="308"/>
        <v>128.87626665948321</v>
      </c>
      <c r="AR188" s="6">
        <f t="shared" si="233"/>
        <v>7.7593805742542141</v>
      </c>
      <c r="AS188" s="6">
        <f t="shared" si="313"/>
        <v>5.4938679978296259</v>
      </c>
      <c r="AT188" s="6">
        <f t="shared" si="314"/>
        <v>2.2655125764245883</v>
      </c>
      <c r="AU188" s="179">
        <f t="shared" si="315"/>
        <v>0.70802919708029199</v>
      </c>
      <c r="AW188" s="6">
        <f t="shared" si="254"/>
        <v>1.9640578092240912</v>
      </c>
      <c r="AX188" s="6">
        <f t="shared" si="255"/>
        <v>7.1420283971785157</v>
      </c>
      <c r="AY188" s="6">
        <f t="shared" si="256"/>
        <v>0.81844622760938801</v>
      </c>
      <c r="AZ188" s="6"/>
      <c r="BA188" s="179">
        <f t="shared" si="257"/>
        <v>0.56786528315646834</v>
      </c>
      <c r="BB188" s="179">
        <f t="shared" si="258"/>
        <v>0.36466110792733875</v>
      </c>
      <c r="BC188" s="179">
        <f t="shared" si="259"/>
        <v>0.65625468402508091</v>
      </c>
      <c r="BD188" s="179"/>
      <c r="BE188" s="546">
        <f t="shared" si="260"/>
        <v>0.11286484293503157</v>
      </c>
      <c r="BF188" s="546">
        <f t="shared" si="261"/>
        <v>3.8696808510638295E-2</v>
      </c>
      <c r="BG188" s="546">
        <f t="shared" si="262"/>
        <v>1.61095333324354E-3</v>
      </c>
      <c r="BH188" s="546">
        <f t="shared" si="263"/>
        <v>7.5589957779120002E-3</v>
      </c>
      <c r="BI188">
        <f t="shared" si="264"/>
        <v>2.8999999999999998E-3</v>
      </c>
      <c r="BK188" s="472">
        <f t="shared" si="265"/>
        <v>163.63160055682542</v>
      </c>
      <c r="BL188" s="179">
        <f t="shared" si="266"/>
        <v>2.5739999999999999E-2</v>
      </c>
      <c r="BM188" s="179">
        <f t="shared" si="267"/>
        <v>4.6800000000000008E-2</v>
      </c>
      <c r="BN188" s="546"/>
      <c r="BP188" s="472">
        <f t="shared" si="268"/>
        <v>72.540000000000006</v>
      </c>
      <c r="BQ188" s="546">
        <f t="shared" si="269"/>
        <v>6.4494195962875187E-2</v>
      </c>
      <c r="BR188" s="546">
        <f t="shared" si="270"/>
        <v>2.6595544726958843E-2</v>
      </c>
      <c r="BS188" s="546">
        <f t="shared" si="271"/>
        <v>4.3067021030485882E-2</v>
      </c>
      <c r="BT188" s="546">
        <f t="shared" si="272"/>
        <v>1.3926862161630863E-2</v>
      </c>
      <c r="BU188" s="546"/>
      <c r="BV188" s="656">
        <f t="shared" si="309"/>
        <v>3.2576573348264283E-2</v>
      </c>
      <c r="BW188" s="472">
        <f t="shared" si="273"/>
        <v>180.66019723021503</v>
      </c>
      <c r="BX188" s="179">
        <f t="shared" si="274"/>
        <v>0.41683179778704049</v>
      </c>
      <c r="BY188" s="6">
        <f t="shared" si="275"/>
        <v>3.9312000000000005</v>
      </c>
      <c r="BZ188" s="179">
        <f t="shared" si="276"/>
        <v>0.90413322230090654</v>
      </c>
      <c r="CA188" s="6">
        <f t="shared" si="277"/>
        <v>90.413322230090657</v>
      </c>
      <c r="CB188">
        <f t="shared" si="278"/>
        <v>78</v>
      </c>
      <c r="CD188" s="581">
        <f t="shared" si="310"/>
        <v>-50</v>
      </c>
      <c r="CE188">
        <f t="shared" si="311"/>
        <v>-50</v>
      </c>
    </row>
    <row r="189" spans="5:83" x14ac:dyDescent="0.2">
      <c r="E189" s="176">
        <v>79</v>
      </c>
      <c r="F189" s="223">
        <f t="shared" si="312"/>
        <v>8.6900000000000005E-2</v>
      </c>
      <c r="G189" s="223">
        <f t="shared" si="279"/>
        <v>0.15800000000000003</v>
      </c>
      <c r="H189" s="223">
        <f t="shared" si="280"/>
        <v>2.0856000000000003</v>
      </c>
      <c r="I189" s="223">
        <f t="shared" si="281"/>
        <v>1.8960000000000004</v>
      </c>
      <c r="J189" s="559">
        <f t="shared" si="282"/>
        <v>10</v>
      </c>
      <c r="K189" s="454">
        <f t="shared" si="283"/>
        <v>24.25</v>
      </c>
      <c r="L189" s="454">
        <f t="shared" si="284"/>
        <v>34.25</v>
      </c>
      <c r="M189" s="454"/>
      <c r="N189" s="223">
        <f t="shared" si="285"/>
        <v>0.70802919708029199</v>
      </c>
      <c r="O189" s="178">
        <f t="shared" si="286"/>
        <v>2.5543839068474097</v>
      </c>
      <c r="P189" s="178">
        <f t="shared" si="287"/>
        <v>4.4332282680822832</v>
      </c>
      <c r="Q189" s="223">
        <f t="shared" si="288"/>
        <v>0.10643266278530873</v>
      </c>
      <c r="R189" s="223">
        <f t="shared" si="289"/>
        <v>0.21286532557061746</v>
      </c>
      <c r="S189" s="223">
        <f t="shared" si="290"/>
        <v>24</v>
      </c>
      <c r="T189" s="223">
        <f t="shared" si="291"/>
        <v>1.1838940857297886</v>
      </c>
      <c r="U189" s="223">
        <f t="shared" si="292"/>
        <v>5.5643022029300058</v>
      </c>
      <c r="V189" s="223">
        <f t="shared" si="293"/>
        <v>2.2945576094556728</v>
      </c>
      <c r="W189" s="203">
        <f t="shared" si="294"/>
        <v>350</v>
      </c>
      <c r="X189" s="454">
        <f t="shared" si="295"/>
        <v>127.24492151189482</v>
      </c>
      <c r="Z189" s="223">
        <f t="shared" si="296"/>
        <v>0.43041288576309544</v>
      </c>
      <c r="AA189" s="179">
        <f t="shared" si="297"/>
        <v>0.83420229405630864</v>
      </c>
      <c r="AB189" s="179">
        <f t="shared" si="298"/>
        <v>3.2913046530372254E-2</v>
      </c>
      <c r="AC189" s="179"/>
      <c r="AD189" s="179">
        <f t="shared" si="299"/>
        <v>0.56206185567010303</v>
      </c>
      <c r="AE189" s="563">
        <f t="shared" si="300"/>
        <v>1066.2711564247227</v>
      </c>
      <c r="AF189" s="546">
        <f t="shared" si="301"/>
        <v>2.8524639175257726E-2</v>
      </c>
      <c r="AH189" s="179">
        <f t="shared" si="302"/>
        <v>0.69576224846062096</v>
      </c>
      <c r="AI189" s="179">
        <f t="shared" si="303"/>
        <v>1.1838940857297886</v>
      </c>
      <c r="AJ189" s="179">
        <f t="shared" si="304"/>
        <v>1.8621437672072507</v>
      </c>
      <c r="AL189" s="563">
        <f t="shared" si="305"/>
        <v>86.9</v>
      </c>
      <c r="AM189" s="472">
        <f t="shared" si="306"/>
        <v>127.24492151189482</v>
      </c>
      <c r="AO189">
        <f t="shared" si="307"/>
        <v>86.9</v>
      </c>
      <c r="AP189">
        <f t="shared" si="308"/>
        <v>127.24492151189482</v>
      </c>
      <c r="AR189" s="6">
        <f t="shared" si="233"/>
        <v>7.8588598123856768</v>
      </c>
      <c r="AS189" s="6">
        <f t="shared" si="313"/>
        <v>5.5643022029300058</v>
      </c>
      <c r="AT189" s="6">
        <f t="shared" si="314"/>
        <v>2.294557609455671</v>
      </c>
      <c r="AU189" s="179">
        <f t="shared" si="315"/>
        <v>0.70802919708029211</v>
      </c>
      <c r="AW189" s="6">
        <f t="shared" si="254"/>
        <v>2.0147410893109061</v>
      </c>
      <c r="AX189" s="6">
        <f t="shared" si="255"/>
        <v>7.3263312338578421</v>
      </c>
      <c r="AY189" s="6">
        <f t="shared" si="256"/>
        <v>0.83956655268083291</v>
      </c>
      <c r="AZ189" s="6"/>
      <c r="BA189" s="179">
        <f t="shared" si="257"/>
        <v>0.57514560729950004</v>
      </c>
      <c r="BB189" s="179">
        <f t="shared" si="258"/>
        <v>0.36933625033666356</v>
      </c>
      <c r="BC189" s="179">
        <f t="shared" si="259"/>
        <v>0.66466820561514606</v>
      </c>
      <c r="BD189" s="179"/>
      <c r="BE189" s="546">
        <f t="shared" si="260"/>
        <v>0.11577736435856874</v>
      </c>
      <c r="BF189" s="546">
        <f t="shared" si="261"/>
        <v>3.8696808510638302E-2</v>
      </c>
      <c r="BG189" s="546">
        <f t="shared" si="262"/>
        <v>1.590561518898685E-3</v>
      </c>
      <c r="BH189" s="546">
        <f t="shared" si="263"/>
        <v>7.4633122870523556E-3</v>
      </c>
      <c r="BI189">
        <f t="shared" si="264"/>
        <v>2.8999999999999998E-3</v>
      </c>
      <c r="BK189" s="472">
        <f t="shared" si="265"/>
        <v>166.4280466751581</v>
      </c>
      <c r="BL189" s="179">
        <f t="shared" si="266"/>
        <v>2.6069999999999999E-2</v>
      </c>
      <c r="BM189" s="179">
        <f t="shared" si="267"/>
        <v>4.7400000000000005E-2</v>
      </c>
      <c r="BN189" s="546"/>
      <c r="BP189" s="472">
        <f t="shared" si="268"/>
        <v>73.470000000000013</v>
      </c>
      <c r="BQ189" s="546">
        <f t="shared" si="269"/>
        <v>6.6158493919182146E-2</v>
      </c>
      <c r="BR189" s="546">
        <f t="shared" si="270"/>
        <v>2.7281853162549326E-2</v>
      </c>
      <c r="BS189" s="546">
        <f t="shared" si="271"/>
        <v>4.4178382355565815E-2</v>
      </c>
      <c r="BT189" s="546">
        <f t="shared" si="272"/>
        <v>1.3926862161630848E-2</v>
      </c>
      <c r="BU189" s="546"/>
      <c r="BV189" s="656">
        <f t="shared" si="309"/>
        <v>3.2994221724524084E-2</v>
      </c>
      <c r="BW189" s="472">
        <f t="shared" si="273"/>
        <v>184.53981332345225</v>
      </c>
      <c r="BX189" s="179">
        <f t="shared" si="274"/>
        <v>0.42443785999861033</v>
      </c>
      <c r="BY189" s="6">
        <f t="shared" si="275"/>
        <v>3.9816000000000007</v>
      </c>
      <c r="BZ189" s="179">
        <f t="shared" si="276"/>
        <v>0.90366903928539</v>
      </c>
      <c r="CA189" s="6">
        <f t="shared" si="277"/>
        <v>90.366903928539003</v>
      </c>
      <c r="CB189">
        <f t="shared" si="278"/>
        <v>79</v>
      </c>
      <c r="CD189" s="581">
        <f t="shared" si="310"/>
        <v>-50</v>
      </c>
      <c r="CE189">
        <f t="shared" si="311"/>
        <v>-50</v>
      </c>
    </row>
    <row r="190" spans="5:83" x14ac:dyDescent="0.2">
      <c r="E190" s="176">
        <v>80</v>
      </c>
      <c r="F190" s="223">
        <f t="shared" si="312"/>
        <v>8.8000000000000009E-2</v>
      </c>
      <c r="G190" s="223">
        <f t="shared" si="279"/>
        <v>0.16000000000000003</v>
      </c>
      <c r="H190" s="223">
        <f t="shared" si="280"/>
        <v>2.1120000000000001</v>
      </c>
      <c r="I190" s="223">
        <f t="shared" si="281"/>
        <v>1.9200000000000004</v>
      </c>
      <c r="J190" s="559">
        <f t="shared" si="282"/>
        <v>10</v>
      </c>
      <c r="K190" s="454">
        <f t="shared" si="283"/>
        <v>24.25</v>
      </c>
      <c r="L190" s="454">
        <f t="shared" si="284"/>
        <v>34.25</v>
      </c>
      <c r="M190" s="454"/>
      <c r="N190" s="223">
        <f t="shared" si="285"/>
        <v>0.70802919708029199</v>
      </c>
      <c r="O190" s="178">
        <f t="shared" si="286"/>
        <v>2.5543839068474097</v>
      </c>
      <c r="P190" s="178">
        <f t="shared" si="287"/>
        <v>4.4332282680822832</v>
      </c>
      <c r="Q190" s="223">
        <f t="shared" si="288"/>
        <v>0.10643266278530873</v>
      </c>
      <c r="R190" s="223">
        <f t="shared" si="289"/>
        <v>0.21286532557061746</v>
      </c>
      <c r="S190" s="223">
        <f t="shared" si="290"/>
        <v>24</v>
      </c>
      <c r="T190" s="223">
        <f t="shared" si="291"/>
        <v>1.1988800868149756</v>
      </c>
      <c r="U190" s="223">
        <f t="shared" si="292"/>
        <v>5.6347364080303848</v>
      </c>
      <c r="V190" s="223">
        <f t="shared" si="293"/>
        <v>2.3236026424867564</v>
      </c>
      <c r="W190" s="203">
        <f t="shared" si="294"/>
        <v>350</v>
      </c>
      <c r="X190" s="454">
        <f t="shared" si="295"/>
        <v>125.65435999299615</v>
      </c>
      <c r="Z190" s="223">
        <f t="shared" si="296"/>
        <v>0.43041288576309544</v>
      </c>
      <c r="AA190" s="179">
        <f t="shared" si="297"/>
        <v>0.83420229405630864</v>
      </c>
      <c r="AB190" s="179">
        <f t="shared" si="298"/>
        <v>3.2913046530372254E-2</v>
      </c>
      <c r="AC190" s="179"/>
      <c r="AD190" s="179">
        <f t="shared" si="299"/>
        <v>0.56206185567010303</v>
      </c>
      <c r="AE190" s="563">
        <f t="shared" si="300"/>
        <v>1079.7682596706052</v>
      </c>
      <c r="AF190" s="546">
        <f t="shared" si="301"/>
        <v>2.8524639175257726E-2</v>
      </c>
      <c r="AH190" s="179">
        <f t="shared" si="302"/>
        <v>0.70015195918989392</v>
      </c>
      <c r="AI190" s="179">
        <f t="shared" si="303"/>
        <v>1.1988800868149756</v>
      </c>
      <c r="AJ190" s="179">
        <f t="shared" si="304"/>
        <v>1.8732445087518337</v>
      </c>
      <c r="AL190" s="563">
        <f t="shared" si="305"/>
        <v>88.000000000000014</v>
      </c>
      <c r="AM190" s="472">
        <f t="shared" si="306"/>
        <v>125.65435999299615</v>
      </c>
      <c r="AO190">
        <f t="shared" si="307"/>
        <v>88.000000000000014</v>
      </c>
      <c r="AP190">
        <f t="shared" si="308"/>
        <v>125.65435999299615</v>
      </c>
      <c r="AR190" s="6">
        <f t="shared" si="233"/>
        <v>7.9583390505171412</v>
      </c>
      <c r="AS190" s="6">
        <f t="shared" si="313"/>
        <v>5.6347364080303848</v>
      </c>
      <c r="AT190" s="6">
        <f t="shared" si="314"/>
        <v>2.3236026424867564</v>
      </c>
      <c r="AU190" s="179">
        <f t="shared" si="315"/>
        <v>0.70802919708029199</v>
      </c>
      <c r="AW190" s="6">
        <f t="shared" si="254"/>
        <v>2.0660700162778078</v>
      </c>
      <c r="AX190" s="6">
        <f t="shared" si="255"/>
        <v>7.5129818773738473</v>
      </c>
      <c r="AY190" s="6">
        <f t="shared" si="256"/>
        <v>0.86095592647930341</v>
      </c>
      <c r="AZ190" s="6"/>
      <c r="BA190" s="179">
        <f t="shared" si="257"/>
        <v>0.58242593144253163</v>
      </c>
      <c r="BB190" s="179">
        <f t="shared" si="258"/>
        <v>0.37401139274598844</v>
      </c>
      <c r="BC190" s="179">
        <f t="shared" si="259"/>
        <v>0.67308172720521109</v>
      </c>
      <c r="BD190" s="179"/>
      <c r="BE190" s="546">
        <f t="shared" si="260"/>
        <v>0.11872698796584517</v>
      </c>
      <c r="BF190" s="546">
        <f t="shared" si="261"/>
        <v>3.8696808510638302E-2</v>
      </c>
      <c r="BG190" s="546">
        <f t="shared" si="262"/>
        <v>1.5706794999124517E-3</v>
      </c>
      <c r="BH190" s="546">
        <f t="shared" si="263"/>
        <v>7.3700208834642025E-3</v>
      </c>
      <c r="BI190">
        <f t="shared" si="264"/>
        <v>2.8999999999999998E-3</v>
      </c>
      <c r="BK190" s="472">
        <f t="shared" si="265"/>
        <v>169.26449685986012</v>
      </c>
      <c r="BL190" s="179">
        <f t="shared" si="266"/>
        <v>2.6400000000000003E-2</v>
      </c>
      <c r="BM190" s="179">
        <f t="shared" si="267"/>
        <v>4.8000000000000008E-2</v>
      </c>
      <c r="BN190" s="546"/>
      <c r="BP190" s="472">
        <f t="shared" si="268"/>
        <v>74.400000000000006</v>
      </c>
      <c r="BQ190" s="546">
        <f t="shared" si="269"/>
        <v>6.7843993123340107E-2</v>
      </c>
      <c r="BR190" s="546">
        <f t="shared" si="270"/>
        <v>2.7976904380758807E-2</v>
      </c>
      <c r="BS190" s="546">
        <f t="shared" si="271"/>
        <v>4.5303901149755021E-2</v>
      </c>
      <c r="BT190" s="546">
        <f t="shared" si="272"/>
        <v>1.3926862161630867E-2</v>
      </c>
      <c r="BU190" s="546"/>
      <c r="BV190" s="656">
        <f t="shared" si="309"/>
        <v>3.3411870100783878E-2</v>
      </c>
      <c r="BW190" s="472">
        <f t="shared" si="273"/>
        <v>188.46353091626867</v>
      </c>
      <c r="BX190" s="179">
        <f t="shared" si="274"/>
        <v>0.4321280277761288</v>
      </c>
      <c r="BY190" s="6">
        <f t="shared" si="275"/>
        <v>4.032</v>
      </c>
      <c r="BZ190" s="179">
        <f t="shared" si="276"/>
        <v>0.90319990262658312</v>
      </c>
      <c r="CA190" s="6">
        <f t="shared" si="277"/>
        <v>90.319990262658308</v>
      </c>
      <c r="CB190">
        <f t="shared" si="278"/>
        <v>80</v>
      </c>
      <c r="CD190" s="581">
        <f t="shared" si="310"/>
        <v>-50</v>
      </c>
      <c r="CE190">
        <f t="shared" si="311"/>
        <v>-50</v>
      </c>
    </row>
    <row r="191" spans="5:83" x14ac:dyDescent="0.2">
      <c r="E191" s="176">
        <v>81</v>
      </c>
      <c r="F191" s="223">
        <f t="shared" si="312"/>
        <v>8.9100000000000013E-2</v>
      </c>
      <c r="G191" s="223">
        <f t="shared" si="279"/>
        <v>0.16200000000000003</v>
      </c>
      <c r="H191" s="223">
        <f t="shared" si="280"/>
        <v>2.1384000000000003</v>
      </c>
      <c r="I191" s="223">
        <f t="shared" si="281"/>
        <v>1.9440000000000004</v>
      </c>
      <c r="J191" s="559">
        <f t="shared" si="282"/>
        <v>10</v>
      </c>
      <c r="K191" s="454">
        <f t="shared" si="283"/>
        <v>24.25</v>
      </c>
      <c r="L191" s="454">
        <f t="shared" si="284"/>
        <v>34.25</v>
      </c>
      <c r="M191" s="454"/>
      <c r="N191" s="223">
        <f t="shared" si="285"/>
        <v>0.70802919708029199</v>
      </c>
      <c r="O191" s="178">
        <f t="shared" si="286"/>
        <v>2.5543839068474097</v>
      </c>
      <c r="P191" s="178">
        <f t="shared" si="287"/>
        <v>4.4332282680822832</v>
      </c>
      <c r="Q191" s="223">
        <f t="shared" si="288"/>
        <v>0.10643266278530873</v>
      </c>
      <c r="R191" s="223">
        <f t="shared" si="289"/>
        <v>0.21286532557061746</v>
      </c>
      <c r="S191" s="223">
        <f t="shared" si="290"/>
        <v>24</v>
      </c>
      <c r="T191" s="223">
        <f t="shared" si="291"/>
        <v>1.213866087900163</v>
      </c>
      <c r="U191" s="223">
        <f t="shared" si="292"/>
        <v>5.7051706131307656</v>
      </c>
      <c r="V191" s="223">
        <f t="shared" si="293"/>
        <v>2.3526476755178418</v>
      </c>
      <c r="W191" s="203">
        <f t="shared" si="294"/>
        <v>350</v>
      </c>
      <c r="X191" s="454">
        <f t="shared" si="295"/>
        <v>124.10307159802083</v>
      </c>
      <c r="Z191" s="223">
        <f t="shared" si="296"/>
        <v>0.43041288576309544</v>
      </c>
      <c r="AA191" s="179">
        <f t="shared" si="297"/>
        <v>0.83420229405630864</v>
      </c>
      <c r="AB191" s="179">
        <f t="shared" si="298"/>
        <v>3.2913046530372254E-2</v>
      </c>
      <c r="AC191" s="179"/>
      <c r="AD191" s="179">
        <f t="shared" si="299"/>
        <v>0.56206185567010303</v>
      </c>
      <c r="AE191" s="563">
        <f t="shared" si="300"/>
        <v>1093.2653629164877</v>
      </c>
      <c r="AF191" s="546">
        <f t="shared" si="301"/>
        <v>2.8524639175257726E-2</v>
      </c>
      <c r="AH191" s="179">
        <f t="shared" si="302"/>
        <v>0.70451431889771765</v>
      </c>
      <c r="AI191" s="179">
        <f t="shared" si="303"/>
        <v>1.213866087900163</v>
      </c>
      <c r="AJ191" s="179">
        <f t="shared" si="304"/>
        <v>1.8843452502964171</v>
      </c>
      <c r="AL191" s="563">
        <f t="shared" si="305"/>
        <v>89.100000000000009</v>
      </c>
      <c r="AM191" s="472">
        <f t="shared" si="306"/>
        <v>124.10307159802083</v>
      </c>
      <c r="AO191">
        <f t="shared" si="307"/>
        <v>89.100000000000009</v>
      </c>
      <c r="AP191">
        <f t="shared" si="308"/>
        <v>124.10307159802083</v>
      </c>
      <c r="AR191" s="6">
        <f t="shared" si="233"/>
        <v>8.0578182886486083</v>
      </c>
      <c r="AS191" s="6">
        <f t="shared" si="313"/>
        <v>5.7051706131307656</v>
      </c>
      <c r="AT191" s="6">
        <f t="shared" si="314"/>
        <v>2.3526476755178427</v>
      </c>
      <c r="AU191" s="179">
        <f t="shared" si="315"/>
        <v>0.70802919708029188</v>
      </c>
      <c r="AW191" s="6">
        <f t="shared" si="254"/>
        <v>2.1180445901247968</v>
      </c>
      <c r="AX191" s="6">
        <f t="shared" si="255"/>
        <v>7.7019803277265346</v>
      </c>
      <c r="AY191" s="6">
        <f t="shared" si="256"/>
        <v>0.88261434900479929</v>
      </c>
      <c r="AZ191" s="6"/>
      <c r="BA191" s="179">
        <f t="shared" si="257"/>
        <v>0.58970625558556322</v>
      </c>
      <c r="BB191" s="179">
        <f t="shared" si="258"/>
        <v>0.37868653515531342</v>
      </c>
      <c r="BC191" s="179">
        <f t="shared" si="259"/>
        <v>0.68149524879527645</v>
      </c>
      <c r="BD191" s="179"/>
      <c r="BE191" s="546">
        <f t="shared" si="260"/>
        <v>0.12171371375686095</v>
      </c>
      <c r="BF191" s="546">
        <f t="shared" si="261"/>
        <v>3.8696808510638288E-2</v>
      </c>
      <c r="BG191" s="546">
        <f t="shared" si="262"/>
        <v>1.5512883949752602E-3</v>
      </c>
      <c r="BH191" s="546">
        <f t="shared" si="263"/>
        <v>7.2790329713226659E-3</v>
      </c>
      <c r="BI191">
        <f t="shared" si="264"/>
        <v>2.8999999999999998E-3</v>
      </c>
      <c r="BK191" s="472">
        <f t="shared" si="265"/>
        <v>172.14084363379718</v>
      </c>
      <c r="BL191" s="179">
        <f t="shared" si="266"/>
        <v>2.6730000000000004E-2</v>
      </c>
      <c r="BM191" s="179">
        <f t="shared" si="267"/>
        <v>4.8600000000000011E-2</v>
      </c>
      <c r="BN191" s="546"/>
      <c r="BP191" s="472">
        <f t="shared" si="268"/>
        <v>75.330000000000013</v>
      </c>
      <c r="BQ191" s="546">
        <f t="shared" si="269"/>
        <v>6.9550693575349126E-2</v>
      </c>
      <c r="BR191" s="546">
        <f t="shared" si="270"/>
        <v>2.8680698381587284E-2</v>
      </c>
      <c r="BS191" s="546">
        <f t="shared" si="271"/>
        <v>4.6443577413053577E-2</v>
      </c>
      <c r="BT191" s="546">
        <f t="shared" si="272"/>
        <v>1.3926862161630837E-2</v>
      </c>
      <c r="BU191" s="546"/>
      <c r="BV191" s="656">
        <f t="shared" si="309"/>
        <v>3.3829518477043678E-2</v>
      </c>
      <c r="BW191" s="472">
        <f t="shared" si="273"/>
        <v>192.43135000866448</v>
      </c>
      <c r="BX191" s="179">
        <f t="shared" si="274"/>
        <v>0.43990219364246169</v>
      </c>
      <c r="BY191" s="6">
        <f t="shared" si="275"/>
        <v>4.0824000000000007</v>
      </c>
      <c r="BZ191" s="179">
        <f t="shared" si="276"/>
        <v>0.90272605084620727</v>
      </c>
      <c r="CA191" s="6">
        <f t="shared" si="277"/>
        <v>90.272605084620722</v>
      </c>
      <c r="CB191">
        <f t="shared" si="278"/>
        <v>81.000000000000014</v>
      </c>
      <c r="CD191" s="581">
        <f t="shared" si="310"/>
        <v>-50</v>
      </c>
      <c r="CE191">
        <f t="shared" si="311"/>
        <v>-50</v>
      </c>
    </row>
    <row r="192" spans="5:83" x14ac:dyDescent="0.2">
      <c r="E192" s="176">
        <v>82</v>
      </c>
      <c r="F192" s="223">
        <f t="shared" si="312"/>
        <v>9.0199999999999989E-2</v>
      </c>
      <c r="G192" s="223">
        <f t="shared" si="279"/>
        <v>0.16400000000000001</v>
      </c>
      <c r="H192" s="223">
        <f t="shared" si="280"/>
        <v>2.1647999999999996</v>
      </c>
      <c r="I192" s="223">
        <f t="shared" si="281"/>
        <v>1.968</v>
      </c>
      <c r="J192" s="559">
        <f t="shared" si="282"/>
        <v>10</v>
      </c>
      <c r="K192" s="454">
        <f t="shared" si="283"/>
        <v>24.25</v>
      </c>
      <c r="L192" s="454">
        <f t="shared" si="284"/>
        <v>34.25</v>
      </c>
      <c r="M192" s="454"/>
      <c r="N192" s="223">
        <f t="shared" si="285"/>
        <v>0.70802919708029199</v>
      </c>
      <c r="O192" s="178">
        <f t="shared" si="286"/>
        <v>2.5543839068474097</v>
      </c>
      <c r="P192" s="178">
        <f t="shared" si="287"/>
        <v>4.4332282680822832</v>
      </c>
      <c r="Q192" s="223">
        <f t="shared" si="288"/>
        <v>0.10643266278530873</v>
      </c>
      <c r="R192" s="223">
        <f t="shared" si="289"/>
        <v>0.21286532557061746</v>
      </c>
      <c r="S192" s="223">
        <f t="shared" si="290"/>
        <v>24</v>
      </c>
      <c r="T192" s="223">
        <f t="shared" si="291"/>
        <v>1.2288520889853498</v>
      </c>
      <c r="U192" s="223">
        <f t="shared" si="292"/>
        <v>5.7756048182311437</v>
      </c>
      <c r="V192" s="223">
        <f t="shared" si="293"/>
        <v>2.3816927085489255</v>
      </c>
      <c r="W192" s="203">
        <f t="shared" si="294"/>
        <v>350</v>
      </c>
      <c r="X192" s="454">
        <f t="shared" si="295"/>
        <v>122.58961950536208</v>
      </c>
      <c r="Z192" s="223">
        <f t="shared" si="296"/>
        <v>0.43041288576309544</v>
      </c>
      <c r="AA192" s="179">
        <f t="shared" si="297"/>
        <v>0.83420229405630864</v>
      </c>
      <c r="AB192" s="179">
        <f t="shared" si="298"/>
        <v>3.2913046530372254E-2</v>
      </c>
      <c r="AC192" s="179"/>
      <c r="AD192" s="179">
        <f t="shared" si="299"/>
        <v>0.56206185567010303</v>
      </c>
      <c r="AE192" s="563">
        <f t="shared" si="300"/>
        <v>1106.7624661623699</v>
      </c>
      <c r="AF192" s="546">
        <f t="shared" si="301"/>
        <v>2.8524639175257726E-2</v>
      </c>
      <c r="AH192" s="179">
        <f t="shared" si="302"/>
        <v>0.7088498325501551</v>
      </c>
      <c r="AI192" s="179">
        <f t="shared" si="303"/>
        <v>1.2288520889853498</v>
      </c>
      <c r="AJ192" s="179">
        <f t="shared" si="304"/>
        <v>1.8954459918409998</v>
      </c>
      <c r="AL192" s="563">
        <f t="shared" si="305"/>
        <v>90.199999999999989</v>
      </c>
      <c r="AM192" s="472">
        <f t="shared" si="306"/>
        <v>122.58961950536208</v>
      </c>
      <c r="AO192">
        <f t="shared" si="307"/>
        <v>90.199999999999989</v>
      </c>
      <c r="AP192">
        <f t="shared" si="308"/>
        <v>122.58961950536208</v>
      </c>
      <c r="AR192" s="6">
        <f t="shared" si="233"/>
        <v>8.15729752678007</v>
      </c>
      <c r="AS192" s="6">
        <f t="shared" si="313"/>
        <v>5.7756048182311437</v>
      </c>
      <c r="AT192" s="6">
        <f t="shared" si="314"/>
        <v>2.3816927085489263</v>
      </c>
      <c r="AU192" s="179">
        <f t="shared" si="315"/>
        <v>0.70802919708029188</v>
      </c>
      <c r="AW192" s="6">
        <f t="shared" si="254"/>
        <v>2.1706648108518714</v>
      </c>
      <c r="AX192" s="6">
        <f t="shared" si="255"/>
        <v>7.8933265849158962</v>
      </c>
      <c r="AY192" s="6">
        <f t="shared" si="256"/>
        <v>0.90454182025731822</v>
      </c>
      <c r="AZ192" s="6"/>
      <c r="BA192" s="179">
        <f t="shared" si="257"/>
        <v>0.5969865797285947</v>
      </c>
      <c r="BB192" s="179">
        <f t="shared" si="258"/>
        <v>0.38336167756463813</v>
      </c>
      <c r="BC192" s="179">
        <f t="shared" si="259"/>
        <v>0.68990877038534137</v>
      </c>
      <c r="BD192" s="179"/>
      <c r="BE192" s="546">
        <f t="shared" si="260"/>
        <v>0.12473754173161601</v>
      </c>
      <c r="BF192" s="546">
        <f t="shared" si="261"/>
        <v>3.8696808510638288E-2</v>
      </c>
      <c r="BG192" s="546">
        <f t="shared" si="262"/>
        <v>1.5323702438170259E-3</v>
      </c>
      <c r="BH192" s="546">
        <f t="shared" si="263"/>
        <v>7.1902642765504406E-3</v>
      </c>
      <c r="BI192">
        <f t="shared" si="264"/>
        <v>2.8999999999999998E-3</v>
      </c>
      <c r="BK192" s="472">
        <f t="shared" si="265"/>
        <v>175.05698476262177</v>
      </c>
      <c r="BL192" s="179">
        <f t="shared" si="266"/>
        <v>2.7059999999999997E-2</v>
      </c>
      <c r="BM192" s="179">
        <f t="shared" si="267"/>
        <v>4.9200000000000001E-2</v>
      </c>
      <c r="BN192" s="546"/>
      <c r="BP192" s="472">
        <f t="shared" si="268"/>
        <v>76.259999999999991</v>
      </c>
      <c r="BQ192" s="546">
        <f t="shared" si="269"/>
        <v>7.1278595275209161E-2</v>
      </c>
      <c r="BR192" s="546">
        <f t="shared" si="270"/>
        <v>2.9393235165034715E-2</v>
      </c>
      <c r="BS192" s="546">
        <f t="shared" si="271"/>
        <v>4.7597411145461371E-2</v>
      </c>
      <c r="BT192" s="546">
        <f t="shared" si="272"/>
        <v>1.392686216163082E-2</v>
      </c>
      <c r="BU192" s="546"/>
      <c r="BV192" s="656">
        <f t="shared" si="309"/>
        <v>3.4247166853303465E-2</v>
      </c>
      <c r="BW192" s="472">
        <f t="shared" si="273"/>
        <v>196.44327060063955</v>
      </c>
      <c r="BX192" s="179">
        <f t="shared" si="274"/>
        <v>0.44776025536326136</v>
      </c>
      <c r="BY192" s="6">
        <f t="shared" si="275"/>
        <v>4.1327999999999996</v>
      </c>
      <c r="BZ192" s="179">
        <f t="shared" si="276"/>
        <v>0.90224770979947466</v>
      </c>
      <c r="CA192" s="6">
        <f t="shared" si="277"/>
        <v>90.224770979947465</v>
      </c>
      <c r="CB192">
        <f t="shared" si="278"/>
        <v>81.999999999999986</v>
      </c>
      <c r="CD192" s="581">
        <f t="shared" si="310"/>
        <v>-50</v>
      </c>
      <c r="CE192">
        <f t="shared" si="311"/>
        <v>-50</v>
      </c>
    </row>
    <row r="193" spans="5:83" x14ac:dyDescent="0.2">
      <c r="E193" s="176">
        <v>83</v>
      </c>
      <c r="F193" s="223">
        <f t="shared" si="312"/>
        <v>9.1299999999999992E-2</v>
      </c>
      <c r="G193" s="223">
        <f t="shared" si="279"/>
        <v>0.16600000000000001</v>
      </c>
      <c r="H193" s="223">
        <f t="shared" si="280"/>
        <v>2.1911999999999998</v>
      </c>
      <c r="I193" s="223">
        <f t="shared" si="281"/>
        <v>1.992</v>
      </c>
      <c r="J193" s="559">
        <f t="shared" si="282"/>
        <v>10</v>
      </c>
      <c r="K193" s="454">
        <f t="shared" si="283"/>
        <v>24.25</v>
      </c>
      <c r="L193" s="454">
        <f t="shared" si="284"/>
        <v>34.25</v>
      </c>
      <c r="M193" s="454"/>
      <c r="N193" s="223">
        <f t="shared" si="285"/>
        <v>0.70802919708029199</v>
      </c>
      <c r="O193" s="178">
        <f t="shared" si="286"/>
        <v>2.5543839068474097</v>
      </c>
      <c r="P193" s="178">
        <f t="shared" si="287"/>
        <v>4.4332282680822832</v>
      </c>
      <c r="Q193" s="223">
        <f t="shared" si="288"/>
        <v>0.10643266278530873</v>
      </c>
      <c r="R193" s="223">
        <f t="shared" si="289"/>
        <v>0.21286532557061746</v>
      </c>
      <c r="S193" s="223">
        <f t="shared" si="290"/>
        <v>24</v>
      </c>
      <c r="T193" s="223">
        <f t="shared" si="291"/>
        <v>1.243838090070537</v>
      </c>
      <c r="U193" s="223">
        <f t="shared" si="292"/>
        <v>5.8460390233315236</v>
      </c>
      <c r="V193" s="223">
        <f t="shared" si="293"/>
        <v>2.4107377415800095</v>
      </c>
      <c r="W193" s="203">
        <f t="shared" si="294"/>
        <v>350</v>
      </c>
      <c r="X193" s="454">
        <f t="shared" si="295"/>
        <v>121.11263613782762</v>
      </c>
      <c r="Z193" s="223">
        <f t="shared" si="296"/>
        <v>0.43041288576309544</v>
      </c>
      <c r="AA193" s="179">
        <f t="shared" si="297"/>
        <v>0.83420229405630864</v>
      </c>
      <c r="AB193" s="179">
        <f t="shared" si="298"/>
        <v>3.2913046530372254E-2</v>
      </c>
      <c r="AC193" s="179"/>
      <c r="AD193" s="179">
        <f t="shared" si="299"/>
        <v>0.56206185567010303</v>
      </c>
      <c r="AE193" s="563">
        <f t="shared" si="300"/>
        <v>1120.2595694082529</v>
      </c>
      <c r="AF193" s="546">
        <f t="shared" si="301"/>
        <v>2.8524639175257726E-2</v>
      </c>
      <c r="AH193" s="179">
        <f t="shared" si="302"/>
        <v>0.71315898976374892</v>
      </c>
      <c r="AI193" s="179">
        <f t="shared" si="303"/>
        <v>1.243838090070537</v>
      </c>
      <c r="AJ193" s="179">
        <f t="shared" si="304"/>
        <v>1.906546733385583</v>
      </c>
      <c r="AL193" s="563">
        <f t="shared" si="305"/>
        <v>91.3</v>
      </c>
      <c r="AM193" s="472">
        <f t="shared" si="306"/>
        <v>121.11263613782762</v>
      </c>
      <c r="AO193">
        <f t="shared" si="307"/>
        <v>91.3</v>
      </c>
      <c r="AP193">
        <f t="shared" si="308"/>
        <v>121.11263613782762</v>
      </c>
      <c r="AR193" s="6">
        <f t="shared" si="233"/>
        <v>8.2567767649115336</v>
      </c>
      <c r="AS193" s="6">
        <f t="shared" si="313"/>
        <v>5.8460390233315236</v>
      </c>
      <c r="AT193" s="6">
        <f t="shared" si="314"/>
        <v>2.41073774158001</v>
      </c>
      <c r="AU193" s="179">
        <f t="shared" si="315"/>
        <v>0.70802919708029199</v>
      </c>
      <c r="AW193" s="6">
        <f t="shared" si="254"/>
        <v>2.2239306784590336</v>
      </c>
      <c r="AX193" s="6">
        <f t="shared" si="255"/>
        <v>8.0870206489419409</v>
      </c>
      <c r="AY193" s="6">
        <f t="shared" si="256"/>
        <v>0.92673834023686252</v>
      </c>
      <c r="AZ193" s="6"/>
      <c r="BA193" s="179">
        <f t="shared" si="257"/>
        <v>0.6042669038716264</v>
      </c>
      <c r="BB193" s="179">
        <f t="shared" si="258"/>
        <v>0.38803681997396294</v>
      </c>
      <c r="BC193" s="179">
        <f t="shared" si="259"/>
        <v>0.69832229197540641</v>
      </c>
      <c r="BD193" s="179"/>
      <c r="BE193" s="546">
        <f t="shared" si="260"/>
        <v>0.12779847189011048</v>
      </c>
      <c r="BF193" s="546">
        <f t="shared" si="261"/>
        <v>3.8696808510638295E-2</v>
      </c>
      <c r="BG193" s="546">
        <f t="shared" si="262"/>
        <v>1.5139079517228452E-3</v>
      </c>
      <c r="BH193" s="546">
        <f t="shared" si="263"/>
        <v>7.1036345864715199E-3</v>
      </c>
      <c r="BI193">
        <f t="shared" si="264"/>
        <v>2.8999999999999998E-3</v>
      </c>
      <c r="BK193" s="472">
        <f t="shared" si="265"/>
        <v>178.01282293894317</v>
      </c>
      <c r="BL193" s="179">
        <f t="shared" si="266"/>
        <v>2.7389999999999998E-2</v>
      </c>
      <c r="BM193" s="179">
        <f t="shared" si="267"/>
        <v>4.9800000000000004E-2</v>
      </c>
      <c r="BN193" s="546"/>
      <c r="BP193" s="472">
        <f t="shared" si="268"/>
        <v>77.190000000000012</v>
      </c>
      <c r="BQ193" s="546">
        <f t="shared" si="269"/>
        <v>7.3027698222920281E-2</v>
      </c>
      <c r="BR193" s="546">
        <f t="shared" si="270"/>
        <v>3.0114514731101147E-2</v>
      </c>
      <c r="BS193" s="546">
        <f t="shared" si="271"/>
        <v>4.876540234697848E-2</v>
      </c>
      <c r="BT193" s="546">
        <f t="shared" si="272"/>
        <v>1.3926862161630821E-2</v>
      </c>
      <c r="BU193" s="546"/>
      <c r="BV193" s="656">
        <f t="shared" si="309"/>
        <v>3.4664815229563273E-2</v>
      </c>
      <c r="BW193" s="472">
        <f t="shared" ref="BW193:BW210" si="316">SUM(BQ193:BV193)*1000</f>
        <v>200.49929269219402</v>
      </c>
      <c r="BX193" s="179">
        <f t="shared" ref="BX193:BX210" si="317">SUM(BE193:BI193,BL193:BO193,BQ193:BV193)</f>
        <v>0.45570211563113711</v>
      </c>
      <c r="BY193" s="6">
        <f t="shared" ref="BY193:BY210" si="318">MIN(H193+I193,O193+P193)</f>
        <v>4.1831999999999994</v>
      </c>
      <c r="BZ193" s="179">
        <f t="shared" ref="BZ193:BZ210" si="319">BY193/(BY193+BX193)</f>
        <v>0.90176509349149359</v>
      </c>
      <c r="CA193" s="6">
        <f t="shared" ref="CA193:CA210" si="320">BZ193*100</f>
        <v>90.176509349149356</v>
      </c>
      <c r="CB193">
        <f t="shared" ref="CB193:CB210" si="321">F193/Iout*100</f>
        <v>83</v>
      </c>
      <c r="CD193" s="581">
        <f t="shared" si="310"/>
        <v>-50</v>
      </c>
      <c r="CE193">
        <f t="shared" si="311"/>
        <v>-50</v>
      </c>
    </row>
    <row r="194" spans="5:83" x14ac:dyDescent="0.2">
      <c r="E194" s="176">
        <v>84</v>
      </c>
      <c r="F194" s="223">
        <f t="shared" si="312"/>
        <v>9.2399999999999996E-2</v>
      </c>
      <c r="G194" s="223">
        <f t="shared" si="279"/>
        <v>0.16800000000000001</v>
      </c>
      <c r="H194" s="223">
        <f t="shared" si="280"/>
        <v>2.2176</v>
      </c>
      <c r="I194" s="223">
        <f t="shared" si="281"/>
        <v>2.016</v>
      </c>
      <c r="J194" s="559">
        <f t="shared" si="282"/>
        <v>10</v>
      </c>
      <c r="K194" s="454">
        <f t="shared" si="283"/>
        <v>24.25</v>
      </c>
      <c r="L194" s="454">
        <f t="shared" si="284"/>
        <v>34.25</v>
      </c>
      <c r="M194" s="454"/>
      <c r="N194" s="223">
        <f t="shared" si="285"/>
        <v>0.70802919708029199</v>
      </c>
      <c r="O194" s="178">
        <f t="shared" si="286"/>
        <v>2.5543839068474097</v>
      </c>
      <c r="P194" s="178">
        <f t="shared" si="287"/>
        <v>4.4332282680822832</v>
      </c>
      <c r="Q194" s="223">
        <f t="shared" si="288"/>
        <v>0.10643266278530873</v>
      </c>
      <c r="R194" s="223">
        <f t="shared" si="289"/>
        <v>0.21286532557061746</v>
      </c>
      <c r="S194" s="223">
        <f t="shared" si="290"/>
        <v>24</v>
      </c>
      <c r="T194" s="223">
        <f t="shared" si="291"/>
        <v>1.2588240911557242</v>
      </c>
      <c r="U194" s="223">
        <f t="shared" si="292"/>
        <v>5.9164732284319035</v>
      </c>
      <c r="V194" s="223">
        <f t="shared" si="293"/>
        <v>2.4397827746110945</v>
      </c>
      <c r="W194" s="203">
        <f t="shared" si="294"/>
        <v>350</v>
      </c>
      <c r="X194" s="454">
        <f t="shared" si="295"/>
        <v>119.67081904094873</v>
      </c>
      <c r="Z194" s="223">
        <f t="shared" si="296"/>
        <v>0.43041288576309544</v>
      </c>
      <c r="AA194" s="179">
        <f t="shared" si="297"/>
        <v>0.83420229405630864</v>
      </c>
      <c r="AB194" s="179">
        <f t="shared" si="298"/>
        <v>3.2913046530372254E-2</v>
      </c>
      <c r="AC194" s="179"/>
      <c r="AD194" s="179">
        <f t="shared" si="299"/>
        <v>0.56206185567010303</v>
      </c>
      <c r="AE194" s="563">
        <f t="shared" si="300"/>
        <v>1133.7566726541354</v>
      </c>
      <c r="AF194" s="546">
        <f t="shared" si="301"/>
        <v>2.8524639175257726E-2</v>
      </c>
      <c r="AH194" s="179">
        <f t="shared" si="302"/>
        <v>0.71744226545089962</v>
      </c>
      <c r="AI194" s="179">
        <f t="shared" si="303"/>
        <v>1.2588240911557242</v>
      </c>
      <c r="AJ194" s="179">
        <f t="shared" si="304"/>
        <v>1.917647474930166</v>
      </c>
      <c r="AL194" s="563">
        <f t="shared" si="305"/>
        <v>92.399999999999991</v>
      </c>
      <c r="AM194" s="472">
        <f t="shared" si="306"/>
        <v>119.67081904094873</v>
      </c>
      <c r="AO194">
        <f t="shared" si="307"/>
        <v>92.399999999999991</v>
      </c>
      <c r="AP194">
        <f t="shared" si="308"/>
        <v>119.67081904094873</v>
      </c>
      <c r="AR194" s="6">
        <f t="shared" si="233"/>
        <v>8.3562560030429971</v>
      </c>
      <c r="AS194" s="6">
        <f t="shared" si="313"/>
        <v>5.9164732284319035</v>
      </c>
      <c r="AT194" s="6">
        <f t="shared" si="314"/>
        <v>2.4397827746110936</v>
      </c>
      <c r="AU194" s="179">
        <f t="shared" si="315"/>
        <v>0.70802919708029199</v>
      </c>
      <c r="AW194" s="6">
        <f t="shared" si="254"/>
        <v>2.2778421929462831</v>
      </c>
      <c r="AX194" s="6">
        <f t="shared" si="255"/>
        <v>8.2830625198046661</v>
      </c>
      <c r="AY194" s="6">
        <f t="shared" si="256"/>
        <v>0.94920390894343165</v>
      </c>
      <c r="AZ194" s="6"/>
      <c r="BA194" s="179">
        <f t="shared" si="257"/>
        <v>0.61154722801465811</v>
      </c>
      <c r="BB194" s="179">
        <f t="shared" si="258"/>
        <v>0.39271196238328782</v>
      </c>
      <c r="BC194" s="179">
        <f t="shared" si="259"/>
        <v>0.70673581356547155</v>
      </c>
      <c r="BD194" s="179"/>
      <c r="BE194" s="546">
        <f t="shared" si="260"/>
        <v>0.13089650423234428</v>
      </c>
      <c r="BF194" s="546">
        <f t="shared" si="261"/>
        <v>3.8696808510638302E-2</v>
      </c>
      <c r="BG194" s="546">
        <f t="shared" si="262"/>
        <v>1.4958852380118591E-3</v>
      </c>
      <c r="BH194" s="546">
        <f t="shared" si="263"/>
        <v>7.0190675080611465E-3</v>
      </c>
      <c r="BI194">
        <f t="shared" si="264"/>
        <v>2.8999999999999998E-3</v>
      </c>
      <c r="BK194" s="472">
        <f t="shared" si="265"/>
        <v>181.00826548905559</v>
      </c>
      <c r="BL194" s="179">
        <f t="shared" si="266"/>
        <v>2.7719999999999998E-2</v>
      </c>
      <c r="BM194" s="179">
        <f t="shared" si="267"/>
        <v>5.04E-2</v>
      </c>
      <c r="BN194" s="546"/>
      <c r="BP194" s="472">
        <f t="shared" si="268"/>
        <v>78.11999999999999</v>
      </c>
      <c r="BQ194" s="546">
        <f t="shared" si="269"/>
        <v>7.4798002418482445E-2</v>
      </c>
      <c r="BR194" s="546">
        <f t="shared" si="270"/>
        <v>3.0844537079786571E-2</v>
      </c>
      <c r="BS194" s="546">
        <f t="shared" si="271"/>
        <v>4.9947551017604896E-2</v>
      </c>
      <c r="BT194" s="546">
        <f t="shared" si="272"/>
        <v>1.3926862161630854E-2</v>
      </c>
      <c r="BU194" s="546"/>
      <c r="BV194" s="656">
        <f t="shared" si="309"/>
        <v>3.5082463605823073E-2</v>
      </c>
      <c r="BW194" s="472">
        <f t="shared" si="316"/>
        <v>204.59941628332783</v>
      </c>
      <c r="BX194" s="179">
        <f t="shared" si="317"/>
        <v>0.46372768177238338</v>
      </c>
      <c r="BY194" s="6">
        <f t="shared" si="318"/>
        <v>4.2336</v>
      </c>
      <c r="BZ194" s="179">
        <f t="shared" si="319"/>
        <v>0.90127840483178501</v>
      </c>
      <c r="CA194" s="6">
        <f t="shared" si="320"/>
        <v>90.127840483178502</v>
      </c>
      <c r="CB194">
        <f t="shared" si="321"/>
        <v>84</v>
      </c>
      <c r="CD194" s="581">
        <f t="shared" si="310"/>
        <v>-50</v>
      </c>
      <c r="CE194">
        <f t="shared" si="311"/>
        <v>-50</v>
      </c>
    </row>
    <row r="195" spans="5:83" x14ac:dyDescent="0.2">
      <c r="E195" s="176">
        <v>85</v>
      </c>
      <c r="F195" s="223">
        <f t="shared" si="312"/>
        <v>9.35E-2</v>
      </c>
      <c r="G195" s="223">
        <f t="shared" si="279"/>
        <v>0.17</v>
      </c>
      <c r="H195" s="223">
        <f t="shared" si="280"/>
        <v>2.2439999999999998</v>
      </c>
      <c r="I195" s="223">
        <f t="shared" si="281"/>
        <v>2.04</v>
      </c>
      <c r="J195" s="559">
        <f t="shared" si="282"/>
        <v>10</v>
      </c>
      <c r="K195" s="454">
        <f t="shared" si="283"/>
        <v>24.25</v>
      </c>
      <c r="L195" s="454">
        <f t="shared" si="284"/>
        <v>34.25</v>
      </c>
      <c r="M195" s="454"/>
      <c r="N195" s="223">
        <f t="shared" si="285"/>
        <v>0.70802919708029199</v>
      </c>
      <c r="O195" s="178">
        <f t="shared" si="286"/>
        <v>2.5543839068474097</v>
      </c>
      <c r="P195" s="178">
        <f t="shared" si="287"/>
        <v>4.4332282680822832</v>
      </c>
      <c r="Q195" s="223">
        <f t="shared" si="288"/>
        <v>0.10643266278530873</v>
      </c>
      <c r="R195" s="223">
        <f t="shared" si="289"/>
        <v>0.21286532557061746</v>
      </c>
      <c r="S195" s="223">
        <f t="shared" si="290"/>
        <v>24</v>
      </c>
      <c r="T195" s="223">
        <f t="shared" si="291"/>
        <v>1.2738100922409115</v>
      </c>
      <c r="U195" s="223">
        <f t="shared" si="292"/>
        <v>5.9869074335322834</v>
      </c>
      <c r="V195" s="223">
        <f t="shared" si="293"/>
        <v>2.4688278076421786</v>
      </c>
      <c r="W195" s="203">
        <f t="shared" si="294"/>
        <v>350</v>
      </c>
      <c r="X195" s="454">
        <f t="shared" si="295"/>
        <v>118.26292705223166</v>
      </c>
      <c r="Z195" s="223">
        <f t="shared" si="296"/>
        <v>0.43041288576309544</v>
      </c>
      <c r="AA195" s="179">
        <f t="shared" si="297"/>
        <v>0.83420229405630864</v>
      </c>
      <c r="AB195" s="179">
        <f t="shared" si="298"/>
        <v>3.2913046530372254E-2</v>
      </c>
      <c r="AC195" s="179"/>
      <c r="AD195" s="179">
        <f t="shared" si="299"/>
        <v>0.56206185567010303</v>
      </c>
      <c r="AE195" s="563">
        <f t="shared" si="300"/>
        <v>1147.2537759000179</v>
      </c>
      <c r="AF195" s="546">
        <f t="shared" si="301"/>
        <v>2.8524639175257726E-2</v>
      </c>
      <c r="AH195" s="179">
        <f t="shared" si="302"/>
        <v>0.72170012043076948</v>
      </c>
      <c r="AI195" s="179">
        <f t="shared" si="303"/>
        <v>1.2738100922409115</v>
      </c>
      <c r="AJ195" s="179">
        <f t="shared" si="304"/>
        <v>1.9287482164747491</v>
      </c>
      <c r="AL195" s="563">
        <f t="shared" si="305"/>
        <v>93.5</v>
      </c>
      <c r="AM195" s="472">
        <f t="shared" si="306"/>
        <v>118.26292705223166</v>
      </c>
      <c r="AO195">
        <f t="shared" si="307"/>
        <v>93.5</v>
      </c>
      <c r="AP195">
        <f t="shared" si="308"/>
        <v>118.26292705223166</v>
      </c>
      <c r="AR195" s="6">
        <f t="shared" si="233"/>
        <v>8.4557352411744624</v>
      </c>
      <c r="AS195" s="6">
        <f t="shared" si="313"/>
        <v>5.9869074335322834</v>
      </c>
      <c r="AT195" s="6">
        <f t="shared" si="314"/>
        <v>2.468827807642179</v>
      </c>
      <c r="AU195" s="179">
        <f t="shared" si="315"/>
        <v>0.70802919708029199</v>
      </c>
      <c r="AW195" s="6">
        <f t="shared" si="254"/>
        <v>2.3323993543136186</v>
      </c>
      <c r="AX195" s="6">
        <f t="shared" si="255"/>
        <v>8.4814521975040691</v>
      </c>
      <c r="AY195" s="6">
        <f t="shared" si="256"/>
        <v>0.97193852637702627</v>
      </c>
      <c r="AZ195" s="6"/>
      <c r="BA195" s="179">
        <f t="shared" si="257"/>
        <v>0.6188275521576897</v>
      </c>
      <c r="BB195" s="179">
        <f t="shared" si="258"/>
        <v>0.39738710479261263</v>
      </c>
      <c r="BC195" s="179">
        <f t="shared" si="259"/>
        <v>0.7151493351555368</v>
      </c>
      <c r="BD195" s="179"/>
      <c r="BE195" s="546">
        <f t="shared" si="260"/>
        <v>0.13403163875831736</v>
      </c>
      <c r="BF195" s="546">
        <f t="shared" si="261"/>
        <v>3.8696808510638295E-2</v>
      </c>
      <c r="BG195" s="546">
        <f t="shared" si="262"/>
        <v>1.4782865881528958E-3</v>
      </c>
      <c r="BH195" s="546">
        <f t="shared" si="263"/>
        <v>6.9364902432604248E-3</v>
      </c>
      <c r="BI195">
        <f t="shared" si="264"/>
        <v>2.8999999999999998E-3</v>
      </c>
      <c r="BK195" s="472">
        <f t="shared" si="265"/>
        <v>184.04322410036895</v>
      </c>
      <c r="BL195" s="179">
        <f t="shared" si="266"/>
        <v>2.8049999999999999E-2</v>
      </c>
      <c r="BM195" s="179">
        <f t="shared" si="267"/>
        <v>5.1000000000000004E-2</v>
      </c>
      <c r="BN195" s="546"/>
      <c r="BP195" s="472">
        <f t="shared" si="268"/>
        <v>79.050000000000011</v>
      </c>
      <c r="BQ195" s="546">
        <f t="shared" si="269"/>
        <v>7.6589507861895639E-2</v>
      </c>
      <c r="BR195" s="546">
        <f t="shared" si="270"/>
        <v>3.1583302211090979E-2</v>
      </c>
      <c r="BS195" s="546">
        <f t="shared" si="271"/>
        <v>5.1143857157340634E-2</v>
      </c>
      <c r="BT195" s="546">
        <f t="shared" si="272"/>
        <v>1.3926862161630828E-2</v>
      </c>
      <c r="BU195" s="546"/>
      <c r="BV195" s="656">
        <f t="shared" si="309"/>
        <v>3.550011198208286E-2</v>
      </c>
      <c r="BW195" s="472">
        <f t="shared" si="316"/>
        <v>208.74364137404095</v>
      </c>
      <c r="BX195" s="179">
        <f t="shared" si="317"/>
        <v>0.47183686547440989</v>
      </c>
      <c r="BY195" s="6">
        <f t="shared" si="318"/>
        <v>4.2839999999999998</v>
      </c>
      <c r="BZ195" s="179">
        <f t="shared" si="319"/>
        <v>0.90078783633228288</v>
      </c>
      <c r="CA195" s="6">
        <f t="shared" si="320"/>
        <v>90.078783633228284</v>
      </c>
      <c r="CB195">
        <f t="shared" si="321"/>
        <v>85</v>
      </c>
      <c r="CD195" s="581">
        <f t="shared" si="310"/>
        <v>-50</v>
      </c>
      <c r="CE195">
        <f t="shared" si="311"/>
        <v>-50</v>
      </c>
    </row>
    <row r="196" spans="5:83" x14ac:dyDescent="0.2">
      <c r="E196" s="176">
        <v>86</v>
      </c>
      <c r="F196" s="223">
        <f t="shared" si="312"/>
        <v>9.4600000000000004E-2</v>
      </c>
      <c r="G196" s="223">
        <f t="shared" si="279"/>
        <v>0.17200000000000001</v>
      </c>
      <c r="H196" s="223">
        <f t="shared" si="280"/>
        <v>2.2704</v>
      </c>
      <c r="I196" s="223">
        <f t="shared" si="281"/>
        <v>2.0640000000000001</v>
      </c>
      <c r="J196" s="559">
        <f t="shared" si="282"/>
        <v>10</v>
      </c>
      <c r="K196" s="454">
        <f t="shared" si="283"/>
        <v>24.25</v>
      </c>
      <c r="L196" s="454">
        <f t="shared" si="284"/>
        <v>34.25</v>
      </c>
      <c r="M196" s="454"/>
      <c r="N196" s="223">
        <f t="shared" si="285"/>
        <v>0.70802919708029199</v>
      </c>
      <c r="O196" s="178">
        <f t="shared" si="286"/>
        <v>2.5543839068474097</v>
      </c>
      <c r="P196" s="178">
        <f t="shared" si="287"/>
        <v>4.4332282680822832</v>
      </c>
      <c r="Q196" s="223">
        <f t="shared" si="288"/>
        <v>0.10643266278530873</v>
      </c>
      <c r="R196" s="223">
        <f t="shared" si="289"/>
        <v>0.21286532557061746</v>
      </c>
      <c r="S196" s="223">
        <f t="shared" si="290"/>
        <v>24</v>
      </c>
      <c r="T196" s="223">
        <f t="shared" si="291"/>
        <v>1.2887960933260989</v>
      </c>
      <c r="U196" s="223">
        <f t="shared" si="292"/>
        <v>6.0573416386326651</v>
      </c>
      <c r="V196" s="223">
        <f t="shared" si="293"/>
        <v>2.4978728406732635</v>
      </c>
      <c r="W196" s="203">
        <f t="shared" si="294"/>
        <v>350</v>
      </c>
      <c r="X196" s="454">
        <f t="shared" si="295"/>
        <v>116.88777673767082</v>
      </c>
      <c r="Z196" s="223">
        <f t="shared" si="296"/>
        <v>0.43041288576309544</v>
      </c>
      <c r="AA196" s="179">
        <f t="shared" si="297"/>
        <v>0.83420229405630864</v>
      </c>
      <c r="AB196" s="179">
        <f t="shared" si="298"/>
        <v>3.2913046530372254E-2</v>
      </c>
      <c r="AC196" s="179"/>
      <c r="AD196" s="179">
        <f t="shared" si="299"/>
        <v>0.56206185567010303</v>
      </c>
      <c r="AE196" s="563">
        <f t="shared" si="300"/>
        <v>1160.7508791459004</v>
      </c>
      <c r="AF196" s="546">
        <f t="shared" si="301"/>
        <v>2.8524639175257726E-2</v>
      </c>
      <c r="AH196" s="179">
        <f t="shared" si="302"/>
        <v>0.72593300200793698</v>
      </c>
      <c r="AI196" s="179">
        <f t="shared" si="303"/>
        <v>1.2887960933260989</v>
      </c>
      <c r="AJ196" s="179">
        <f t="shared" si="304"/>
        <v>1.9398489580193323</v>
      </c>
      <c r="AL196" s="563">
        <f t="shared" si="305"/>
        <v>94.600000000000009</v>
      </c>
      <c r="AM196" s="472">
        <f t="shared" si="306"/>
        <v>116.88777673767082</v>
      </c>
      <c r="AO196">
        <f t="shared" si="307"/>
        <v>94.600000000000009</v>
      </c>
      <c r="AP196">
        <f t="shared" si="308"/>
        <v>116.88777673767082</v>
      </c>
      <c r="AR196" s="6">
        <f t="shared" si="233"/>
        <v>8.5552144793059277</v>
      </c>
      <c r="AS196" s="6">
        <f t="shared" si="313"/>
        <v>6.0573416386326651</v>
      </c>
      <c r="AT196" s="6">
        <f t="shared" si="314"/>
        <v>2.4978728406732627</v>
      </c>
      <c r="AU196" s="179">
        <f t="shared" si="315"/>
        <v>0.70802919708029211</v>
      </c>
      <c r="AW196" s="6">
        <f t="shared" si="254"/>
        <v>2.3876021625610422</v>
      </c>
      <c r="AX196" s="6">
        <f t="shared" si="255"/>
        <v>8.6821896820401534</v>
      </c>
      <c r="AY196" s="6">
        <f t="shared" si="256"/>
        <v>0.99494219253764493</v>
      </c>
      <c r="AZ196" s="6"/>
      <c r="BA196" s="179">
        <f t="shared" si="257"/>
        <v>0.62610787630072151</v>
      </c>
      <c r="BB196" s="179">
        <f t="shared" si="258"/>
        <v>0.40206224720193751</v>
      </c>
      <c r="BC196" s="179">
        <f t="shared" si="259"/>
        <v>0.72356285674560195</v>
      </c>
      <c r="BD196" s="179"/>
      <c r="BE196" s="546">
        <f t="shared" si="260"/>
        <v>0.13720387546802984</v>
      </c>
      <c r="BF196" s="546">
        <f t="shared" si="261"/>
        <v>3.8696808510638302E-2</v>
      </c>
      <c r="BG196" s="546">
        <f t="shared" si="262"/>
        <v>1.4610972092208852E-3</v>
      </c>
      <c r="BH196" s="546">
        <f t="shared" si="263"/>
        <v>6.8558333799666991E-3</v>
      </c>
      <c r="BI196">
        <f t="shared" si="264"/>
        <v>2.8999999999999998E-3</v>
      </c>
      <c r="BK196" s="472">
        <f t="shared" si="265"/>
        <v>187.11761456785575</v>
      </c>
      <c r="BL196" s="179">
        <f t="shared" si="266"/>
        <v>2.8379999999999999E-2</v>
      </c>
      <c r="BM196" s="179">
        <f t="shared" si="267"/>
        <v>5.16E-2</v>
      </c>
      <c r="BN196" s="546"/>
      <c r="BP196" s="472">
        <f t="shared" si="268"/>
        <v>79.97999999999999</v>
      </c>
      <c r="BQ196" s="546">
        <f t="shared" si="269"/>
        <v>7.8402214553159932E-2</v>
      </c>
      <c r="BR196" s="546">
        <f t="shared" si="270"/>
        <v>3.2330810125014382E-2</v>
      </c>
      <c r="BS196" s="546">
        <f t="shared" si="271"/>
        <v>5.2354320766185652E-2</v>
      </c>
      <c r="BT196" s="546">
        <f t="shared" si="272"/>
        <v>1.3926862161630828E-2</v>
      </c>
      <c r="BU196" s="546"/>
      <c r="BV196" s="656">
        <f t="shared" si="309"/>
        <v>3.5917760358342675E-2</v>
      </c>
      <c r="BW196" s="472">
        <f t="shared" si="316"/>
        <v>212.93196796433347</v>
      </c>
      <c r="BX196" s="179">
        <f t="shared" si="317"/>
        <v>0.48002958253218919</v>
      </c>
      <c r="BY196" s="6">
        <f t="shared" si="318"/>
        <v>4.3344000000000005</v>
      </c>
      <c r="BZ196" s="179">
        <f t="shared" si="319"/>
        <v>0.90029357075366878</v>
      </c>
      <c r="CA196" s="6">
        <f t="shared" si="320"/>
        <v>90.029357075366875</v>
      </c>
      <c r="CB196">
        <f t="shared" si="321"/>
        <v>86</v>
      </c>
      <c r="CD196" s="581">
        <f t="shared" si="310"/>
        <v>-50</v>
      </c>
      <c r="CE196">
        <f t="shared" si="311"/>
        <v>-50</v>
      </c>
    </row>
    <row r="197" spans="5:83" x14ac:dyDescent="0.2">
      <c r="E197" s="176">
        <v>87</v>
      </c>
      <c r="F197" s="223">
        <f t="shared" si="312"/>
        <v>9.5699999999999993E-2</v>
      </c>
      <c r="G197" s="223">
        <f t="shared" si="279"/>
        <v>0.17400000000000002</v>
      </c>
      <c r="H197" s="223">
        <f t="shared" si="280"/>
        <v>2.2967999999999997</v>
      </c>
      <c r="I197" s="223">
        <f t="shared" si="281"/>
        <v>2.0880000000000001</v>
      </c>
      <c r="J197" s="559">
        <f t="shared" si="282"/>
        <v>10</v>
      </c>
      <c r="K197" s="454">
        <f t="shared" si="283"/>
        <v>24.25</v>
      </c>
      <c r="L197" s="454">
        <f t="shared" si="284"/>
        <v>34.25</v>
      </c>
      <c r="M197" s="454"/>
      <c r="N197" s="223">
        <f t="shared" si="285"/>
        <v>0.70802919708029199</v>
      </c>
      <c r="O197" s="178">
        <f t="shared" si="286"/>
        <v>2.5543839068474097</v>
      </c>
      <c r="P197" s="178">
        <f t="shared" si="287"/>
        <v>4.4332282680822832</v>
      </c>
      <c r="Q197" s="223">
        <f t="shared" si="288"/>
        <v>0.10643266278530873</v>
      </c>
      <c r="R197" s="223">
        <f t="shared" si="289"/>
        <v>0.21286532557061746</v>
      </c>
      <c r="S197" s="223">
        <f t="shared" si="290"/>
        <v>24</v>
      </c>
      <c r="T197" s="223">
        <f t="shared" si="291"/>
        <v>1.3037820944112859</v>
      </c>
      <c r="U197" s="223">
        <f t="shared" si="292"/>
        <v>6.1277758437330441</v>
      </c>
      <c r="V197" s="223">
        <f t="shared" si="293"/>
        <v>2.5269178737043481</v>
      </c>
      <c r="W197" s="203">
        <f t="shared" si="294"/>
        <v>350</v>
      </c>
      <c r="X197" s="454">
        <f t="shared" si="295"/>
        <v>115.54423907401942</v>
      </c>
      <c r="Z197" s="223">
        <f t="shared" si="296"/>
        <v>0.43041288576309544</v>
      </c>
      <c r="AA197" s="179">
        <f t="shared" si="297"/>
        <v>0.83420229405630864</v>
      </c>
      <c r="AB197" s="179">
        <f t="shared" si="298"/>
        <v>3.2913046530372254E-2</v>
      </c>
      <c r="AC197" s="179"/>
      <c r="AD197" s="179">
        <f t="shared" si="299"/>
        <v>0.56206185567010303</v>
      </c>
      <c r="AE197" s="563">
        <f t="shared" si="300"/>
        <v>1174.2479823917831</v>
      </c>
      <c r="AF197" s="546">
        <f t="shared" si="301"/>
        <v>2.8524639175257726E-2</v>
      </c>
      <c r="AH197" s="179">
        <f t="shared" si="302"/>
        <v>0.73014134452085611</v>
      </c>
      <c r="AI197" s="179">
        <f t="shared" si="303"/>
        <v>1.3037820944112859</v>
      </c>
      <c r="AJ197" s="179">
        <f t="shared" si="304"/>
        <v>1.9509496995639153</v>
      </c>
      <c r="AL197" s="563">
        <f t="shared" si="305"/>
        <v>95.699999999999989</v>
      </c>
      <c r="AM197" s="472">
        <f t="shared" si="306"/>
        <v>115.54423907401942</v>
      </c>
      <c r="AO197">
        <f t="shared" si="307"/>
        <v>95.699999999999989</v>
      </c>
      <c r="AP197">
        <f t="shared" si="308"/>
        <v>115.54423907401942</v>
      </c>
      <c r="AR197" s="6">
        <f t="shared" si="233"/>
        <v>8.6546937174373948</v>
      </c>
      <c r="AS197" s="6">
        <f t="shared" si="313"/>
        <v>6.1277758437330441</v>
      </c>
      <c r="AT197" s="6">
        <f t="shared" si="314"/>
        <v>2.5269178737043507</v>
      </c>
      <c r="AU197" s="179">
        <f t="shared" si="315"/>
        <v>0.70802919708029177</v>
      </c>
      <c r="AW197" s="6">
        <f t="shared" si="254"/>
        <v>2.4434506176885513</v>
      </c>
      <c r="AX197" s="6">
        <f t="shared" si="255"/>
        <v>8.8852749734129155</v>
      </c>
      <c r="AY197" s="6">
        <f t="shared" si="256"/>
        <v>1.0182149074252895</v>
      </c>
      <c r="AZ197" s="6"/>
      <c r="BA197" s="179">
        <f t="shared" si="257"/>
        <v>0.63338820044375288</v>
      </c>
      <c r="BB197" s="179">
        <f t="shared" si="258"/>
        <v>0.40673738961126255</v>
      </c>
      <c r="BC197" s="179">
        <f t="shared" si="259"/>
        <v>0.7319763783356672</v>
      </c>
      <c r="BD197" s="179"/>
      <c r="BE197" s="546">
        <f t="shared" si="260"/>
        <v>0.14041321436148146</v>
      </c>
      <c r="BF197" s="546">
        <f t="shared" si="261"/>
        <v>3.8696808510638281E-2</v>
      </c>
      <c r="BG197" s="546">
        <f t="shared" si="262"/>
        <v>1.4443029884252427E-3</v>
      </c>
      <c r="BH197" s="546">
        <f t="shared" si="263"/>
        <v>6.7770306974383448E-3</v>
      </c>
      <c r="BI197">
        <f t="shared" si="264"/>
        <v>2.8999999999999998E-3</v>
      </c>
      <c r="BK197" s="472">
        <f t="shared" si="265"/>
        <v>190.23135655798333</v>
      </c>
      <c r="BL197" s="179">
        <f t="shared" si="266"/>
        <v>2.8709999999999996E-2</v>
      </c>
      <c r="BM197" s="179">
        <f t="shared" si="267"/>
        <v>5.2200000000000003E-2</v>
      </c>
      <c r="BN197" s="546"/>
      <c r="BP197" s="472">
        <f t="shared" si="268"/>
        <v>80.91</v>
      </c>
      <c r="BQ197" s="546">
        <f t="shared" si="269"/>
        <v>8.023612249227513E-2</v>
      </c>
      <c r="BR197" s="546">
        <f t="shared" si="270"/>
        <v>3.3087060821556796E-2</v>
      </c>
      <c r="BS197" s="546">
        <f t="shared" si="271"/>
        <v>5.3578941844139985E-2</v>
      </c>
      <c r="BT197" s="546">
        <f t="shared" si="272"/>
        <v>1.3926862161630837E-2</v>
      </c>
      <c r="BU197" s="546"/>
      <c r="BV197" s="656">
        <f t="shared" si="309"/>
        <v>3.6335408734602462E-2</v>
      </c>
      <c r="BW197" s="472">
        <f t="shared" si="316"/>
        <v>217.16439605420524</v>
      </c>
      <c r="BX197" s="179">
        <f t="shared" si="317"/>
        <v>0.48830575261218856</v>
      </c>
      <c r="BY197" s="6">
        <f t="shared" si="318"/>
        <v>4.3848000000000003</v>
      </c>
      <c r="BZ197" s="179">
        <f t="shared" si="319"/>
        <v>0.89979578170442209</v>
      </c>
      <c r="CA197" s="6">
        <f t="shared" si="320"/>
        <v>89.97957817044221</v>
      </c>
      <c r="CB197">
        <f t="shared" si="321"/>
        <v>86.999999999999986</v>
      </c>
      <c r="CD197" s="581">
        <f t="shared" si="310"/>
        <v>-50</v>
      </c>
      <c r="CE197">
        <f t="shared" si="311"/>
        <v>-50</v>
      </c>
    </row>
    <row r="198" spans="5:83" x14ac:dyDescent="0.2">
      <c r="E198" s="176">
        <v>88</v>
      </c>
      <c r="F198" s="223">
        <f t="shared" si="312"/>
        <v>9.6799999999999997E-2</v>
      </c>
      <c r="G198" s="223">
        <f t="shared" si="279"/>
        <v>0.17600000000000002</v>
      </c>
      <c r="H198" s="223">
        <f t="shared" si="280"/>
        <v>2.3231999999999999</v>
      </c>
      <c r="I198" s="223">
        <f t="shared" si="281"/>
        <v>2.1120000000000001</v>
      </c>
      <c r="J198" s="559">
        <f t="shared" si="282"/>
        <v>10</v>
      </c>
      <c r="K198" s="454">
        <f t="shared" si="283"/>
        <v>24.25</v>
      </c>
      <c r="L198" s="454">
        <f t="shared" si="284"/>
        <v>34.25</v>
      </c>
      <c r="M198" s="454"/>
      <c r="N198" s="223">
        <f t="shared" si="285"/>
        <v>0.70802919708029199</v>
      </c>
      <c r="O198" s="178">
        <f t="shared" si="286"/>
        <v>2.5543839068474097</v>
      </c>
      <c r="P198" s="178">
        <f t="shared" si="287"/>
        <v>4.4332282680822832</v>
      </c>
      <c r="Q198" s="223">
        <f t="shared" si="288"/>
        <v>0.10643266278530873</v>
      </c>
      <c r="R198" s="223">
        <f t="shared" si="289"/>
        <v>0.21286532557061746</v>
      </c>
      <c r="S198" s="223">
        <f t="shared" si="290"/>
        <v>24</v>
      </c>
      <c r="T198" s="223">
        <f t="shared" si="291"/>
        <v>1.3187680954964731</v>
      </c>
      <c r="U198" s="223">
        <f t="shared" si="292"/>
        <v>6.198210048833424</v>
      </c>
      <c r="V198" s="223">
        <f t="shared" si="293"/>
        <v>2.5559629067354326</v>
      </c>
      <c r="W198" s="203">
        <f t="shared" si="294"/>
        <v>350</v>
      </c>
      <c r="X198" s="454">
        <f t="shared" si="295"/>
        <v>114.23123635726921</v>
      </c>
      <c r="Z198" s="223">
        <f t="shared" si="296"/>
        <v>0.43041288576309544</v>
      </c>
      <c r="AA198" s="179">
        <f t="shared" si="297"/>
        <v>0.83420229405630864</v>
      </c>
      <c r="AB198" s="179">
        <f t="shared" si="298"/>
        <v>3.2913046530372254E-2</v>
      </c>
      <c r="AC198" s="179"/>
      <c r="AD198" s="179">
        <f t="shared" si="299"/>
        <v>0.56206185567010303</v>
      </c>
      <c r="AE198" s="563">
        <f t="shared" si="300"/>
        <v>1187.7450856376656</v>
      </c>
      <c r="AF198" s="546">
        <f t="shared" si="301"/>
        <v>2.8524639175257726E-2</v>
      </c>
      <c r="AH198" s="179">
        <f t="shared" si="302"/>
        <v>0.73432556986202757</v>
      </c>
      <c r="AI198" s="179">
        <f t="shared" si="303"/>
        <v>1.3187680954964731</v>
      </c>
      <c r="AJ198" s="179">
        <f t="shared" si="304"/>
        <v>1.9620504411084985</v>
      </c>
      <c r="AL198" s="563">
        <f t="shared" si="305"/>
        <v>96.8</v>
      </c>
      <c r="AM198" s="472">
        <f t="shared" si="306"/>
        <v>114.23123635726921</v>
      </c>
      <c r="AO198">
        <f t="shared" si="307"/>
        <v>96.8</v>
      </c>
      <c r="AP198">
        <f t="shared" si="308"/>
        <v>114.23123635726921</v>
      </c>
      <c r="AR198" s="6">
        <f t="shared" ref="AR198:AR262" si="322">1/AM198*1000</f>
        <v>8.7541729555688566</v>
      </c>
      <c r="AS198" s="6">
        <f t="shared" si="313"/>
        <v>6.198210048833424</v>
      </c>
      <c r="AT198" s="6">
        <f t="shared" si="314"/>
        <v>2.5559629067354326</v>
      </c>
      <c r="AU198" s="179">
        <f t="shared" si="315"/>
        <v>0.70802919708029199</v>
      </c>
      <c r="AW198" s="6">
        <f t="shared" si="254"/>
        <v>2.4999447196961477</v>
      </c>
      <c r="AX198" s="6">
        <f t="shared" si="255"/>
        <v>9.0907080716223554</v>
      </c>
      <c r="AY198" s="6">
        <f t="shared" si="256"/>
        <v>1.0417566710399571</v>
      </c>
      <c r="AZ198" s="6"/>
      <c r="BA198" s="179">
        <f t="shared" si="257"/>
        <v>0.64066852458678469</v>
      </c>
      <c r="BB198" s="179">
        <f t="shared" si="258"/>
        <v>0.41141253202058725</v>
      </c>
      <c r="BC198" s="179">
        <f t="shared" si="259"/>
        <v>0.74038989992573223</v>
      </c>
      <c r="BD198" s="179"/>
      <c r="BE198" s="546">
        <f t="shared" si="260"/>
        <v>0.14365965543867262</v>
      </c>
      <c r="BF198" s="546">
        <f t="shared" si="261"/>
        <v>3.8696808510638288E-2</v>
      </c>
      <c r="BG198" s="546">
        <f t="shared" si="262"/>
        <v>1.4278904544658651E-3</v>
      </c>
      <c r="BH198" s="546">
        <f t="shared" si="263"/>
        <v>6.7000189849674551E-3</v>
      </c>
      <c r="BI198">
        <f t="shared" si="264"/>
        <v>2.8999999999999998E-3</v>
      </c>
      <c r="BK198" s="472">
        <f t="shared" si="265"/>
        <v>193.38437338874419</v>
      </c>
      <c r="BL198" s="179">
        <f t="shared" si="266"/>
        <v>2.9039999999999996E-2</v>
      </c>
      <c r="BM198" s="179">
        <f t="shared" si="267"/>
        <v>5.2800000000000007E-2</v>
      </c>
      <c r="BN198" s="546"/>
      <c r="BP198" s="472">
        <f t="shared" si="268"/>
        <v>81.839999999999989</v>
      </c>
      <c r="BQ198" s="546">
        <f t="shared" si="269"/>
        <v>8.2091231679241511E-2</v>
      </c>
      <c r="BR198" s="546">
        <f t="shared" si="270"/>
        <v>3.3852054300718151E-2</v>
      </c>
      <c r="BS198" s="546">
        <f t="shared" si="271"/>
        <v>5.4817720391203584E-2</v>
      </c>
      <c r="BT198" s="546">
        <f t="shared" si="272"/>
        <v>1.3926862161630837E-2</v>
      </c>
      <c r="BU198" s="546"/>
      <c r="BV198" s="656">
        <f t="shared" si="309"/>
        <v>3.6753057110862263E-2</v>
      </c>
      <c r="BW198" s="472">
        <f t="shared" si="316"/>
        <v>221.44092564365636</v>
      </c>
      <c r="BX198" s="179">
        <f t="shared" si="317"/>
        <v>0.49666529903240059</v>
      </c>
      <c r="BY198" s="6">
        <f t="shared" si="318"/>
        <v>4.4352</v>
      </c>
      <c r="BZ198" s="179">
        <f t="shared" si="319"/>
        <v>0.89929463419654965</v>
      </c>
      <c r="CA198" s="6">
        <f t="shared" si="320"/>
        <v>89.929463419654965</v>
      </c>
      <c r="CB198">
        <f t="shared" si="321"/>
        <v>88</v>
      </c>
      <c r="CD198" s="581">
        <f t="shared" si="310"/>
        <v>-50</v>
      </c>
      <c r="CE198">
        <f t="shared" si="311"/>
        <v>-50</v>
      </c>
    </row>
    <row r="199" spans="5:83" x14ac:dyDescent="0.2">
      <c r="E199" s="176">
        <v>89</v>
      </c>
      <c r="F199" s="223">
        <f t="shared" si="312"/>
        <v>9.7900000000000001E-2</v>
      </c>
      <c r="G199" s="223">
        <f t="shared" si="279"/>
        <v>0.17800000000000002</v>
      </c>
      <c r="H199" s="223">
        <f t="shared" si="280"/>
        <v>2.3496000000000001</v>
      </c>
      <c r="I199" s="223">
        <f t="shared" si="281"/>
        <v>2.1360000000000001</v>
      </c>
      <c r="J199" s="559">
        <f t="shared" si="282"/>
        <v>10</v>
      </c>
      <c r="K199" s="454">
        <f t="shared" si="283"/>
        <v>24.25</v>
      </c>
      <c r="L199" s="454">
        <f t="shared" si="284"/>
        <v>34.25</v>
      </c>
      <c r="M199" s="454"/>
      <c r="N199" s="223">
        <f t="shared" si="285"/>
        <v>0.70802919708029199</v>
      </c>
      <c r="O199" s="178">
        <f t="shared" si="286"/>
        <v>2.5543839068474097</v>
      </c>
      <c r="P199" s="178">
        <f t="shared" si="287"/>
        <v>4.4332282680822832</v>
      </c>
      <c r="Q199" s="223">
        <f t="shared" si="288"/>
        <v>0.10643266278530873</v>
      </c>
      <c r="R199" s="223">
        <f t="shared" si="289"/>
        <v>0.21286532557061746</v>
      </c>
      <c r="S199" s="223">
        <f t="shared" si="290"/>
        <v>24</v>
      </c>
      <c r="T199" s="223">
        <f t="shared" si="291"/>
        <v>1.3337540965816603</v>
      </c>
      <c r="U199" s="223">
        <f t="shared" si="292"/>
        <v>6.2686442539338039</v>
      </c>
      <c r="V199" s="223">
        <f t="shared" si="293"/>
        <v>2.5850079397665167</v>
      </c>
      <c r="W199" s="203">
        <f t="shared" si="294"/>
        <v>350</v>
      </c>
      <c r="X199" s="454">
        <f t="shared" si="295"/>
        <v>112.94773931954708</v>
      </c>
      <c r="Z199" s="223">
        <f t="shared" si="296"/>
        <v>0.43041288576309544</v>
      </c>
      <c r="AA199" s="179">
        <f t="shared" si="297"/>
        <v>0.83420229405630864</v>
      </c>
      <c r="AB199" s="179">
        <f t="shared" si="298"/>
        <v>3.2913046530372254E-2</v>
      </c>
      <c r="AC199" s="179"/>
      <c r="AD199" s="179">
        <f t="shared" si="299"/>
        <v>0.56206185567010303</v>
      </c>
      <c r="AE199" s="563">
        <f t="shared" si="300"/>
        <v>1201.2421888835481</v>
      </c>
      <c r="AF199" s="546">
        <f t="shared" si="301"/>
        <v>2.8524639175257726E-2</v>
      </c>
      <c r="AH199" s="179">
        <f t="shared" si="302"/>
        <v>0.73848608797164184</v>
      </c>
      <c r="AI199" s="179">
        <f t="shared" si="303"/>
        <v>1.3337540965816603</v>
      </c>
      <c r="AJ199" s="179">
        <f t="shared" si="304"/>
        <v>1.9731511826530816</v>
      </c>
      <c r="AL199" s="563">
        <f t="shared" si="305"/>
        <v>97.9</v>
      </c>
      <c r="AM199" s="472">
        <f t="shared" si="306"/>
        <v>112.94773931954708</v>
      </c>
      <c r="AO199">
        <f t="shared" si="307"/>
        <v>97.9</v>
      </c>
      <c r="AP199">
        <f t="shared" si="308"/>
        <v>112.94773931954708</v>
      </c>
      <c r="AR199" s="6">
        <f t="shared" si="322"/>
        <v>8.8536521937003219</v>
      </c>
      <c r="AS199" s="6">
        <f t="shared" si="313"/>
        <v>6.2686442539338039</v>
      </c>
      <c r="AT199" s="6">
        <f t="shared" si="314"/>
        <v>2.585007939766518</v>
      </c>
      <c r="AU199" s="179">
        <f t="shared" si="315"/>
        <v>0.70802919708029188</v>
      </c>
      <c r="AW199" s="6">
        <f t="shared" si="254"/>
        <v>2.557084468583831</v>
      </c>
      <c r="AX199" s="6">
        <f t="shared" si="255"/>
        <v>9.2984889766684784</v>
      </c>
      <c r="AY199" s="6">
        <f t="shared" si="256"/>
        <v>1.0655674833816509</v>
      </c>
      <c r="AZ199" s="6"/>
      <c r="BA199" s="179">
        <f t="shared" si="257"/>
        <v>0.64794884872981628</v>
      </c>
      <c r="BB199" s="179">
        <f t="shared" si="258"/>
        <v>0.41608767442991218</v>
      </c>
      <c r="BC199" s="179">
        <f t="shared" si="259"/>
        <v>0.74880342151579748</v>
      </c>
      <c r="BD199" s="179"/>
      <c r="BE199" s="546">
        <f t="shared" si="260"/>
        <v>0.14694319869960301</v>
      </c>
      <c r="BF199" s="546">
        <f t="shared" si="261"/>
        <v>3.8696808510638295E-2</v>
      </c>
      <c r="BG199" s="546">
        <f t="shared" si="262"/>
        <v>1.4118467414943384E-3</v>
      </c>
      <c r="BH199" s="546">
        <f t="shared" si="263"/>
        <v>6.6247378727768104E-3</v>
      </c>
      <c r="BI199">
        <f t="shared" si="264"/>
        <v>2.8999999999999998E-3</v>
      </c>
      <c r="BK199" s="472">
        <f t="shared" si="265"/>
        <v>196.57659182451249</v>
      </c>
      <c r="BL199" s="179">
        <f t="shared" si="266"/>
        <v>2.937E-2</v>
      </c>
      <c r="BM199" s="179">
        <f t="shared" si="267"/>
        <v>5.3400000000000003E-2</v>
      </c>
      <c r="BN199" s="546"/>
      <c r="BP199" s="472">
        <f t="shared" si="268"/>
        <v>82.77000000000001</v>
      </c>
      <c r="BQ199" s="546">
        <f t="shared" si="269"/>
        <v>8.396754211405888E-2</v>
      </c>
      <c r="BR199" s="546">
        <f t="shared" si="270"/>
        <v>3.4625790562498523E-2</v>
      </c>
      <c r="BS199" s="546">
        <f t="shared" si="271"/>
        <v>5.6070656407376511E-2</v>
      </c>
      <c r="BT199" s="546">
        <f t="shared" si="272"/>
        <v>1.3926862161630842E-2</v>
      </c>
      <c r="BU199" s="546"/>
      <c r="BV199" s="656">
        <f t="shared" si="309"/>
        <v>3.7170705487122063E-2</v>
      </c>
      <c r="BW199" s="472">
        <f t="shared" si="316"/>
        <v>225.76155673268681</v>
      </c>
      <c r="BX199" s="179">
        <f t="shared" si="317"/>
        <v>0.50510814855719932</v>
      </c>
      <c r="BY199" s="6">
        <f t="shared" si="318"/>
        <v>4.4855999999999998</v>
      </c>
      <c r="BZ199" s="179">
        <f t="shared" si="319"/>
        <v>0.89879028516159076</v>
      </c>
      <c r="CA199" s="6">
        <f t="shared" si="320"/>
        <v>89.879028516159082</v>
      </c>
      <c r="CB199">
        <f t="shared" si="321"/>
        <v>89</v>
      </c>
      <c r="CD199" s="581">
        <f t="shared" si="310"/>
        <v>-50</v>
      </c>
      <c r="CE199">
        <f t="shared" si="311"/>
        <v>-50</v>
      </c>
    </row>
    <row r="200" spans="5:83" x14ac:dyDescent="0.2">
      <c r="E200" s="176">
        <v>90</v>
      </c>
      <c r="F200" s="223">
        <f t="shared" si="312"/>
        <v>9.9000000000000005E-2</v>
      </c>
      <c r="G200" s="223">
        <f t="shared" si="279"/>
        <v>0.18000000000000002</v>
      </c>
      <c r="H200" s="223">
        <f t="shared" si="280"/>
        <v>2.3760000000000003</v>
      </c>
      <c r="I200" s="223">
        <f t="shared" si="281"/>
        <v>2.16</v>
      </c>
      <c r="J200" s="559">
        <f t="shared" si="282"/>
        <v>10</v>
      </c>
      <c r="K200" s="454">
        <f t="shared" si="283"/>
        <v>24.25</v>
      </c>
      <c r="L200" s="454">
        <f t="shared" si="284"/>
        <v>34.25</v>
      </c>
      <c r="M200" s="454"/>
      <c r="N200" s="223">
        <f t="shared" si="285"/>
        <v>0.70802919708029199</v>
      </c>
      <c r="O200" s="178">
        <f t="shared" si="286"/>
        <v>2.5543839068474097</v>
      </c>
      <c r="P200" s="178">
        <f t="shared" si="287"/>
        <v>4.4332282680822832</v>
      </c>
      <c r="Q200" s="223">
        <f t="shared" si="288"/>
        <v>0.10643266278530873</v>
      </c>
      <c r="R200" s="223">
        <f t="shared" si="289"/>
        <v>0.21286532557061746</v>
      </c>
      <c r="S200" s="223">
        <f t="shared" si="290"/>
        <v>24</v>
      </c>
      <c r="T200" s="223">
        <f t="shared" si="291"/>
        <v>1.3487400976668475</v>
      </c>
      <c r="U200" s="223">
        <f t="shared" si="292"/>
        <v>6.3390784590341838</v>
      </c>
      <c r="V200" s="223">
        <f t="shared" si="293"/>
        <v>2.6140529727976016</v>
      </c>
      <c r="W200" s="203">
        <f t="shared" si="294"/>
        <v>350</v>
      </c>
      <c r="X200" s="454">
        <f t="shared" si="295"/>
        <v>111.69276443821877</v>
      </c>
      <c r="Z200" s="223">
        <f t="shared" si="296"/>
        <v>0.43041288576309544</v>
      </c>
      <c r="AA200" s="179">
        <f t="shared" si="297"/>
        <v>0.83420229405630864</v>
      </c>
      <c r="AB200" s="179">
        <f t="shared" si="298"/>
        <v>3.2913046530372254E-2</v>
      </c>
      <c r="AC200" s="179"/>
      <c r="AD200" s="179">
        <f t="shared" si="299"/>
        <v>0.56206185567010303</v>
      </c>
      <c r="AE200" s="563">
        <f t="shared" si="300"/>
        <v>1214.7392921294309</v>
      </c>
      <c r="AF200" s="546">
        <f t="shared" si="301"/>
        <v>2.8524639175257726E-2</v>
      </c>
      <c r="AH200" s="179">
        <f t="shared" si="302"/>
        <v>0.74262329730633125</v>
      </c>
      <c r="AI200" s="179">
        <f t="shared" si="303"/>
        <v>1.3487400976668475</v>
      </c>
      <c r="AJ200" s="179">
        <f t="shared" si="304"/>
        <v>1.9842519241976648</v>
      </c>
      <c r="AL200" s="563">
        <f t="shared" si="305"/>
        <v>99</v>
      </c>
      <c r="AM200" s="472">
        <f t="shared" si="306"/>
        <v>111.69276443821877</v>
      </c>
      <c r="AO200">
        <f t="shared" si="307"/>
        <v>99</v>
      </c>
      <c r="AP200">
        <f t="shared" si="308"/>
        <v>111.69276443821877</v>
      </c>
      <c r="AR200" s="6">
        <f t="shared" si="322"/>
        <v>8.9531314318317854</v>
      </c>
      <c r="AS200" s="6">
        <f t="shared" si="313"/>
        <v>6.3390784590341838</v>
      </c>
      <c r="AT200" s="6">
        <f t="shared" si="314"/>
        <v>2.6140529727976016</v>
      </c>
      <c r="AU200" s="179">
        <f t="shared" si="315"/>
        <v>0.70802919708029199</v>
      </c>
      <c r="AW200" s="6">
        <f t="shared" si="254"/>
        <v>2.6148698643516006</v>
      </c>
      <c r="AX200" s="6">
        <f t="shared" si="255"/>
        <v>9.5086176885512756</v>
      </c>
      <c r="AY200" s="6">
        <f t="shared" si="256"/>
        <v>1.0896473444503687</v>
      </c>
      <c r="AZ200" s="6"/>
      <c r="BA200" s="179">
        <f t="shared" si="257"/>
        <v>0.65522917287284799</v>
      </c>
      <c r="BB200" s="179">
        <f t="shared" si="258"/>
        <v>0.42076281683923694</v>
      </c>
      <c r="BC200" s="179">
        <f t="shared" si="259"/>
        <v>0.75721694310586241</v>
      </c>
      <c r="BD200" s="179"/>
      <c r="BE200" s="546">
        <f t="shared" si="260"/>
        <v>0.15026384414427277</v>
      </c>
      <c r="BF200" s="546">
        <f t="shared" si="261"/>
        <v>3.8696808510638288E-2</v>
      </c>
      <c r="BG200" s="546">
        <f t="shared" si="262"/>
        <v>1.3961595554777347E-3</v>
      </c>
      <c r="BH200" s="546">
        <f t="shared" si="263"/>
        <v>6.5511296741904007E-3</v>
      </c>
      <c r="BI200">
        <f t="shared" si="264"/>
        <v>2.8999999999999998E-3</v>
      </c>
      <c r="BK200" s="472">
        <f t="shared" si="265"/>
        <v>199.80794188457918</v>
      </c>
      <c r="BL200" s="179">
        <f t="shared" si="266"/>
        <v>2.9700000000000001E-2</v>
      </c>
      <c r="BM200" s="179">
        <f t="shared" si="267"/>
        <v>5.4000000000000006E-2</v>
      </c>
      <c r="BN200" s="546"/>
      <c r="BP200" s="472">
        <f t="shared" si="268"/>
        <v>83.700000000000017</v>
      </c>
      <c r="BQ200" s="546">
        <f t="shared" si="269"/>
        <v>8.5865053796727306E-2</v>
      </c>
      <c r="BR200" s="546">
        <f t="shared" si="270"/>
        <v>3.5408269606897851E-2</v>
      </c>
      <c r="BS200" s="546">
        <f t="shared" si="271"/>
        <v>5.733774989265869E-2</v>
      </c>
      <c r="BT200" s="546">
        <f t="shared" si="272"/>
        <v>1.3926862161630848E-2</v>
      </c>
      <c r="BU200" s="546"/>
      <c r="BV200" s="656">
        <f t="shared" si="309"/>
        <v>3.7588353863381857E-2</v>
      </c>
      <c r="BW200" s="472">
        <f t="shared" si="316"/>
        <v>230.12628932129655</v>
      </c>
      <c r="BX200" s="179">
        <f t="shared" si="317"/>
        <v>0.51363423120587581</v>
      </c>
      <c r="BY200" s="6">
        <f t="shared" si="318"/>
        <v>4.5360000000000005</v>
      </c>
      <c r="BZ200" s="179">
        <f t="shared" si="319"/>
        <v>0.8982828839301461</v>
      </c>
      <c r="CA200" s="6">
        <f t="shared" si="320"/>
        <v>89.828288393014617</v>
      </c>
      <c r="CB200">
        <f t="shared" si="321"/>
        <v>90</v>
      </c>
      <c r="CD200" s="581">
        <f t="shared" si="310"/>
        <v>-50</v>
      </c>
      <c r="CE200">
        <f t="shared" si="311"/>
        <v>-50</v>
      </c>
    </row>
    <row r="201" spans="5:83" x14ac:dyDescent="0.2">
      <c r="E201" s="176">
        <v>91</v>
      </c>
      <c r="F201" s="223">
        <f t="shared" si="312"/>
        <v>0.10010000000000001</v>
      </c>
      <c r="G201" s="223">
        <f t="shared" si="279"/>
        <v>0.18200000000000002</v>
      </c>
      <c r="H201" s="223">
        <f t="shared" si="280"/>
        <v>2.4024000000000001</v>
      </c>
      <c r="I201" s="223">
        <f t="shared" si="281"/>
        <v>2.1840000000000002</v>
      </c>
      <c r="J201" s="559">
        <f t="shared" si="282"/>
        <v>10</v>
      </c>
      <c r="K201" s="454">
        <f t="shared" si="283"/>
        <v>24.25</v>
      </c>
      <c r="L201" s="454">
        <f t="shared" si="284"/>
        <v>34.25</v>
      </c>
      <c r="M201" s="454"/>
      <c r="N201" s="223">
        <f t="shared" si="285"/>
        <v>0.70802919708029199</v>
      </c>
      <c r="O201" s="178">
        <f t="shared" si="286"/>
        <v>2.5543839068474097</v>
      </c>
      <c r="P201" s="178">
        <f t="shared" si="287"/>
        <v>4.4332282680822832</v>
      </c>
      <c r="Q201" s="223">
        <f t="shared" si="288"/>
        <v>0.10643266278530873</v>
      </c>
      <c r="R201" s="223">
        <f t="shared" si="289"/>
        <v>0.21286532557061746</v>
      </c>
      <c r="S201" s="223">
        <f t="shared" si="290"/>
        <v>24</v>
      </c>
      <c r="T201" s="223">
        <f t="shared" si="291"/>
        <v>1.3637260987520348</v>
      </c>
      <c r="U201" s="223">
        <f t="shared" si="292"/>
        <v>6.4095126641345637</v>
      </c>
      <c r="V201" s="223">
        <f t="shared" si="293"/>
        <v>2.6430980058286857</v>
      </c>
      <c r="W201" s="203">
        <f t="shared" si="294"/>
        <v>350</v>
      </c>
      <c r="X201" s="454">
        <f t="shared" si="295"/>
        <v>110.46537142241418</v>
      </c>
      <c r="Z201" s="223">
        <f t="shared" si="296"/>
        <v>0.43041288576309544</v>
      </c>
      <c r="AA201" s="179">
        <f t="shared" si="297"/>
        <v>0.83420229405630864</v>
      </c>
      <c r="AB201" s="179">
        <f t="shared" si="298"/>
        <v>3.2913046530372254E-2</v>
      </c>
      <c r="AC201" s="179"/>
      <c r="AD201" s="179">
        <f t="shared" si="299"/>
        <v>0.56206185567010303</v>
      </c>
      <c r="AE201" s="563">
        <f t="shared" si="300"/>
        <v>1228.2363953753136</v>
      </c>
      <c r="AF201" s="546">
        <f t="shared" si="301"/>
        <v>2.8524639175257726E-2</v>
      </c>
      <c r="AH201" s="179">
        <f t="shared" si="302"/>
        <v>0.74673758528454681</v>
      </c>
      <c r="AI201" s="179">
        <f t="shared" si="303"/>
        <v>1.3637260987520348</v>
      </c>
      <c r="AJ201" s="179">
        <f t="shared" si="304"/>
        <v>1.995352665742248</v>
      </c>
      <c r="AL201" s="563">
        <f t="shared" si="305"/>
        <v>100.10000000000001</v>
      </c>
      <c r="AM201" s="472">
        <f t="shared" si="306"/>
        <v>110.46537142241418</v>
      </c>
      <c r="AO201">
        <f t="shared" si="307"/>
        <v>100.10000000000001</v>
      </c>
      <c r="AP201">
        <f t="shared" si="308"/>
        <v>110.46537142241418</v>
      </c>
      <c r="AR201" s="6">
        <f t="shared" si="322"/>
        <v>9.0526106699632489</v>
      </c>
      <c r="AS201" s="6">
        <f t="shared" si="313"/>
        <v>6.4095126641345637</v>
      </c>
      <c r="AT201" s="6">
        <f t="shared" si="314"/>
        <v>2.6430980058286853</v>
      </c>
      <c r="AU201" s="179">
        <f t="shared" si="315"/>
        <v>0.70802919708029199</v>
      </c>
      <c r="AW201" s="6">
        <f t="shared" si="254"/>
        <v>2.6733009069994575</v>
      </c>
      <c r="AX201" s="6">
        <f t="shared" si="255"/>
        <v>9.7210942072707578</v>
      </c>
      <c r="AY201" s="6">
        <f t="shared" si="256"/>
        <v>1.113996254246111</v>
      </c>
      <c r="AZ201" s="6"/>
      <c r="BA201" s="179">
        <f t="shared" si="257"/>
        <v>0.66250949701587969</v>
      </c>
      <c r="BB201" s="179">
        <f t="shared" si="258"/>
        <v>0.42543795924856181</v>
      </c>
      <c r="BC201" s="179">
        <f t="shared" si="259"/>
        <v>0.76563046469592777</v>
      </c>
      <c r="BD201" s="179"/>
      <c r="BE201" s="546">
        <f t="shared" si="260"/>
        <v>0.15362159177268186</v>
      </c>
      <c r="BF201" s="546">
        <f t="shared" si="261"/>
        <v>3.8696808510638295E-2</v>
      </c>
      <c r="BG201" s="546">
        <f t="shared" si="262"/>
        <v>1.3808171427801771E-3</v>
      </c>
      <c r="BH201" s="546">
        <f t="shared" si="263"/>
        <v>6.4791392382102866E-3</v>
      </c>
      <c r="BI201">
        <f t="shared" si="264"/>
        <v>2.8999999999999998E-3</v>
      </c>
      <c r="BK201" s="472">
        <f t="shared" si="265"/>
        <v>203.07835666431063</v>
      </c>
      <c r="BL201" s="179">
        <f t="shared" si="266"/>
        <v>3.0030000000000001E-2</v>
      </c>
      <c r="BM201" s="179">
        <f t="shared" si="267"/>
        <v>5.4600000000000003E-2</v>
      </c>
      <c r="BN201" s="546"/>
      <c r="BP201" s="472">
        <f t="shared" si="268"/>
        <v>84.63000000000001</v>
      </c>
      <c r="BQ201" s="546">
        <f t="shared" si="269"/>
        <v>8.778376672724679E-2</v>
      </c>
      <c r="BR201" s="546">
        <f t="shared" si="270"/>
        <v>3.6199491433916188E-2</v>
      </c>
      <c r="BS201" s="546">
        <f t="shared" si="271"/>
        <v>5.8619000847050233E-2</v>
      </c>
      <c r="BT201" s="546">
        <f t="shared" si="272"/>
        <v>1.3926862161630821E-2</v>
      </c>
      <c r="BU201" s="546"/>
      <c r="BV201" s="656">
        <f t="shared" si="309"/>
        <v>3.8006002239641651E-2</v>
      </c>
      <c r="BW201" s="472">
        <f t="shared" si="316"/>
        <v>234.53512340948572</v>
      </c>
      <c r="BX201" s="179">
        <f t="shared" si="317"/>
        <v>0.52224348007379628</v>
      </c>
      <c r="BY201" s="6">
        <f t="shared" si="318"/>
        <v>4.5864000000000003</v>
      </c>
      <c r="BZ201" s="179">
        <f t="shared" si="319"/>
        <v>0.89777257267789368</v>
      </c>
      <c r="CA201" s="6">
        <f t="shared" si="320"/>
        <v>89.777257267789366</v>
      </c>
      <c r="CB201">
        <f t="shared" si="321"/>
        <v>91</v>
      </c>
      <c r="CD201" s="581">
        <f t="shared" si="310"/>
        <v>-50</v>
      </c>
      <c r="CE201">
        <f t="shared" si="311"/>
        <v>-50</v>
      </c>
    </row>
    <row r="202" spans="5:83" x14ac:dyDescent="0.2">
      <c r="E202" s="176">
        <v>92</v>
      </c>
      <c r="F202" s="223">
        <f t="shared" si="312"/>
        <v>0.1012</v>
      </c>
      <c r="G202" s="223">
        <f t="shared" si="279"/>
        <v>0.18400000000000002</v>
      </c>
      <c r="H202" s="223">
        <f t="shared" si="280"/>
        <v>2.4287999999999998</v>
      </c>
      <c r="I202" s="223">
        <f t="shared" si="281"/>
        <v>2.2080000000000002</v>
      </c>
      <c r="J202" s="559">
        <f t="shared" si="282"/>
        <v>10</v>
      </c>
      <c r="K202" s="454">
        <f t="shared" si="283"/>
        <v>24.25</v>
      </c>
      <c r="L202" s="454">
        <f t="shared" si="284"/>
        <v>34.25</v>
      </c>
      <c r="M202" s="454"/>
      <c r="N202" s="223">
        <f t="shared" si="285"/>
        <v>0.70802919708029199</v>
      </c>
      <c r="O202" s="178">
        <f t="shared" si="286"/>
        <v>2.5543839068474097</v>
      </c>
      <c r="P202" s="178">
        <f t="shared" si="287"/>
        <v>4.4332282680822832</v>
      </c>
      <c r="Q202" s="223">
        <f t="shared" si="288"/>
        <v>0.10643266278530873</v>
      </c>
      <c r="R202" s="223">
        <f t="shared" si="289"/>
        <v>0.21286532557061746</v>
      </c>
      <c r="S202" s="223">
        <f t="shared" si="290"/>
        <v>24</v>
      </c>
      <c r="T202" s="223">
        <f t="shared" si="291"/>
        <v>1.378712099837222</v>
      </c>
      <c r="U202" s="223">
        <f t="shared" si="292"/>
        <v>6.4799468692349436</v>
      </c>
      <c r="V202" s="223">
        <f t="shared" si="293"/>
        <v>2.6721430388597707</v>
      </c>
      <c r="W202" s="203">
        <f t="shared" si="294"/>
        <v>350</v>
      </c>
      <c r="X202" s="454">
        <f t="shared" si="295"/>
        <v>109.26466086347489</v>
      </c>
      <c r="Z202" s="223">
        <f t="shared" si="296"/>
        <v>0.43041288576309544</v>
      </c>
      <c r="AA202" s="179">
        <f t="shared" si="297"/>
        <v>0.83420229405630864</v>
      </c>
      <c r="AB202" s="179">
        <f t="shared" si="298"/>
        <v>3.2913046530372254E-2</v>
      </c>
      <c r="AC202" s="179"/>
      <c r="AD202" s="179">
        <f t="shared" si="299"/>
        <v>0.56206185567010303</v>
      </c>
      <c r="AE202" s="563">
        <f t="shared" si="300"/>
        <v>1241.7334986211958</v>
      </c>
      <c r="AF202" s="546">
        <f t="shared" si="301"/>
        <v>2.8524639175257726E-2</v>
      </c>
      <c r="AH202" s="179">
        <f t="shared" si="302"/>
        <v>0.75082932870996977</v>
      </c>
      <c r="AI202" s="179">
        <f t="shared" si="303"/>
        <v>1.378712099837222</v>
      </c>
      <c r="AJ202" s="179">
        <f t="shared" si="304"/>
        <v>2.006453407286831</v>
      </c>
      <c r="AL202" s="563">
        <f t="shared" si="305"/>
        <v>101.2</v>
      </c>
      <c r="AM202" s="472">
        <f t="shared" si="306"/>
        <v>109.26466086347489</v>
      </c>
      <c r="AO202">
        <f t="shared" si="307"/>
        <v>101.2</v>
      </c>
      <c r="AP202">
        <f t="shared" si="308"/>
        <v>109.26466086347489</v>
      </c>
      <c r="AR202" s="6">
        <f t="shared" si="322"/>
        <v>9.1520899080947142</v>
      </c>
      <c r="AS202" s="6">
        <f t="shared" si="313"/>
        <v>6.4799468692349436</v>
      </c>
      <c r="AT202" s="6">
        <f t="shared" si="314"/>
        <v>2.6721430388597707</v>
      </c>
      <c r="AU202" s="179">
        <f t="shared" si="315"/>
        <v>0.70802919708029199</v>
      </c>
      <c r="AW202" s="6">
        <f t="shared" si="254"/>
        <v>2.7323775965274009</v>
      </c>
      <c r="AX202" s="6">
        <f t="shared" si="255"/>
        <v>9.9359185328269142</v>
      </c>
      <c r="AY202" s="6">
        <f t="shared" si="256"/>
        <v>1.138614212768879</v>
      </c>
      <c r="AZ202" s="6"/>
      <c r="BA202" s="179">
        <f t="shared" si="257"/>
        <v>0.66978982115891139</v>
      </c>
      <c r="BB202" s="179">
        <f t="shared" si="258"/>
        <v>0.43011310165788669</v>
      </c>
      <c r="BC202" s="179">
        <f t="shared" si="259"/>
        <v>0.7740439862859928</v>
      </c>
      <c r="BD202" s="179"/>
      <c r="BE202" s="546">
        <f t="shared" si="260"/>
        <v>0.15701644158483027</v>
      </c>
      <c r="BF202" s="546">
        <f t="shared" si="261"/>
        <v>3.8696808510638288E-2</v>
      </c>
      <c r="BG202" s="546">
        <f t="shared" si="262"/>
        <v>1.3658082607934361E-3</v>
      </c>
      <c r="BH202" s="546">
        <f t="shared" si="263"/>
        <v>6.4087138117080002E-3</v>
      </c>
      <c r="BI202">
        <f t="shared" si="264"/>
        <v>2.8999999999999998E-3</v>
      </c>
      <c r="BK202" s="472">
        <f t="shared" si="265"/>
        <v>206.38777216796998</v>
      </c>
      <c r="BL202" s="179">
        <f t="shared" si="266"/>
        <v>3.0359999999999998E-2</v>
      </c>
      <c r="BM202" s="179">
        <f t="shared" si="267"/>
        <v>5.5200000000000006E-2</v>
      </c>
      <c r="BN202" s="546"/>
      <c r="BP202" s="472">
        <f t="shared" si="268"/>
        <v>85.56</v>
      </c>
      <c r="BQ202" s="546">
        <f t="shared" si="269"/>
        <v>8.9723680905617303E-2</v>
      </c>
      <c r="BR202" s="546">
        <f t="shared" si="270"/>
        <v>3.6999456043553515E-2</v>
      </c>
      <c r="BS202" s="546">
        <f t="shared" si="271"/>
        <v>5.9914409270551021E-2</v>
      </c>
      <c r="BT202" s="546">
        <f t="shared" si="272"/>
        <v>1.3926862161630846E-2</v>
      </c>
      <c r="BU202" s="546"/>
      <c r="BV202" s="656">
        <f t="shared" si="309"/>
        <v>3.8423650615901452E-2</v>
      </c>
      <c r="BW202" s="472">
        <f t="shared" si="316"/>
        <v>238.98805899725414</v>
      </c>
      <c r="BX202" s="179">
        <f t="shared" si="317"/>
        <v>0.53093583116522414</v>
      </c>
      <c r="BY202" s="6">
        <f t="shared" si="318"/>
        <v>4.6368</v>
      </c>
      <c r="BZ202" s="179">
        <f t="shared" si="319"/>
        <v>0.89725948684077594</v>
      </c>
      <c r="CA202" s="6">
        <f t="shared" si="320"/>
        <v>89.725948684077593</v>
      </c>
      <c r="CB202">
        <f t="shared" si="321"/>
        <v>92</v>
      </c>
      <c r="CD202" s="581">
        <f t="shared" si="310"/>
        <v>-50</v>
      </c>
      <c r="CE202">
        <f t="shared" si="311"/>
        <v>-50</v>
      </c>
    </row>
    <row r="203" spans="5:83" x14ac:dyDescent="0.2">
      <c r="E203" s="176">
        <v>93</v>
      </c>
      <c r="F203" s="223">
        <f t="shared" si="312"/>
        <v>0.1023</v>
      </c>
      <c r="G203" s="223">
        <f t="shared" si="279"/>
        <v>0.18600000000000003</v>
      </c>
      <c r="H203" s="223">
        <f t="shared" si="280"/>
        <v>2.4552</v>
      </c>
      <c r="I203" s="223">
        <f t="shared" si="281"/>
        <v>2.2320000000000002</v>
      </c>
      <c r="J203" s="559">
        <f t="shared" si="282"/>
        <v>10</v>
      </c>
      <c r="K203" s="454">
        <f t="shared" si="283"/>
        <v>24.25</v>
      </c>
      <c r="L203" s="454">
        <f t="shared" si="284"/>
        <v>34.25</v>
      </c>
      <c r="M203" s="454"/>
      <c r="N203" s="223">
        <f t="shared" si="285"/>
        <v>0.70802919708029199</v>
      </c>
      <c r="O203" s="178">
        <f t="shared" si="286"/>
        <v>2.5543839068474097</v>
      </c>
      <c r="P203" s="178">
        <f t="shared" si="287"/>
        <v>4.4332282680822832</v>
      </c>
      <c r="Q203" s="223">
        <f t="shared" si="288"/>
        <v>0.10643266278530873</v>
      </c>
      <c r="R203" s="223">
        <f t="shared" si="289"/>
        <v>0.21286532557061746</v>
      </c>
      <c r="S203" s="223">
        <f t="shared" si="290"/>
        <v>24</v>
      </c>
      <c r="T203" s="223">
        <f t="shared" si="291"/>
        <v>1.3936981009224092</v>
      </c>
      <c r="U203" s="223">
        <f t="shared" si="292"/>
        <v>6.5503810743353235</v>
      </c>
      <c r="V203" s="223">
        <f t="shared" si="293"/>
        <v>2.7011880718908547</v>
      </c>
      <c r="W203" s="203">
        <f t="shared" si="294"/>
        <v>350</v>
      </c>
      <c r="X203" s="454">
        <f t="shared" si="295"/>
        <v>108.08977203698592</v>
      </c>
      <c r="Z203" s="223">
        <f t="shared" si="296"/>
        <v>0.43041288576309544</v>
      </c>
      <c r="AA203" s="179">
        <f t="shared" si="297"/>
        <v>0.83420229405630864</v>
      </c>
      <c r="AB203" s="179">
        <f t="shared" si="298"/>
        <v>3.2913046530372254E-2</v>
      </c>
      <c r="AC203" s="179"/>
      <c r="AD203" s="179">
        <f t="shared" si="299"/>
        <v>0.56206185567010303</v>
      </c>
      <c r="AE203" s="563">
        <f t="shared" si="300"/>
        <v>1255.2306018670786</v>
      </c>
      <c r="AF203" s="546">
        <f t="shared" si="301"/>
        <v>2.8524639175257726E-2</v>
      </c>
      <c r="AH203" s="179">
        <f t="shared" si="302"/>
        <v>0.75489889417426759</v>
      </c>
      <c r="AI203" s="179">
        <f t="shared" si="303"/>
        <v>1.3936981009224092</v>
      </c>
      <c r="AJ203" s="179">
        <f t="shared" si="304"/>
        <v>2.0175541488314144</v>
      </c>
      <c r="AL203" s="563">
        <f t="shared" si="305"/>
        <v>102.3</v>
      </c>
      <c r="AM203" s="472">
        <f t="shared" si="306"/>
        <v>108.08977203698592</v>
      </c>
      <c r="AO203">
        <f t="shared" si="307"/>
        <v>102.3</v>
      </c>
      <c r="AP203">
        <f t="shared" si="308"/>
        <v>108.08977203698592</v>
      </c>
      <c r="AR203" s="6">
        <f t="shared" si="322"/>
        <v>9.2515691462261778</v>
      </c>
      <c r="AS203" s="6">
        <f t="shared" si="313"/>
        <v>6.5503810743353235</v>
      </c>
      <c r="AT203" s="6">
        <f t="shared" si="314"/>
        <v>2.7011880718908543</v>
      </c>
      <c r="AU203" s="179">
        <f t="shared" si="315"/>
        <v>0.70802919708029199</v>
      </c>
      <c r="AW203" s="6">
        <f t="shared" si="254"/>
        <v>2.7920999329354319</v>
      </c>
      <c r="AX203" s="6">
        <f t="shared" si="255"/>
        <v>10.153090665219752</v>
      </c>
      <c r="AY203" s="6">
        <f t="shared" si="256"/>
        <v>1.163501220018671</v>
      </c>
      <c r="AZ203" s="6"/>
      <c r="BA203" s="179">
        <f t="shared" si="257"/>
        <v>0.67707014530194298</v>
      </c>
      <c r="BB203" s="179">
        <f t="shared" si="258"/>
        <v>0.43478824406721156</v>
      </c>
      <c r="BC203" s="179">
        <f t="shared" si="259"/>
        <v>0.78245750787605783</v>
      </c>
      <c r="BD203" s="179"/>
      <c r="BE203" s="546">
        <f t="shared" si="260"/>
        <v>0.16044839358071794</v>
      </c>
      <c r="BF203" s="546">
        <f t="shared" si="261"/>
        <v>3.8696808510638295E-2</v>
      </c>
      <c r="BG203" s="546">
        <f t="shared" si="262"/>
        <v>1.351122150462324E-3</v>
      </c>
      <c r="BH203" s="546">
        <f t="shared" si="263"/>
        <v>6.3398029105068395E-3</v>
      </c>
      <c r="BI203">
        <f t="shared" si="264"/>
        <v>2.8999999999999998E-3</v>
      </c>
      <c r="BK203" s="472">
        <f t="shared" si="265"/>
        <v>209.73612715232537</v>
      </c>
      <c r="BL203" s="179">
        <f t="shared" si="266"/>
        <v>3.0689999999999999E-2</v>
      </c>
      <c r="BM203" s="179">
        <f t="shared" si="267"/>
        <v>5.5800000000000009E-2</v>
      </c>
      <c r="BN203" s="546"/>
      <c r="BP203" s="472">
        <f t="shared" si="268"/>
        <v>86.490000000000009</v>
      </c>
      <c r="BQ203" s="546">
        <f t="shared" si="269"/>
        <v>9.1684796331838847E-2</v>
      </c>
      <c r="BR203" s="546">
        <f t="shared" si="270"/>
        <v>3.7808163435809831E-2</v>
      </c>
      <c r="BS203" s="546">
        <f t="shared" si="271"/>
        <v>6.1223975163161116E-2</v>
      </c>
      <c r="BT203" s="546">
        <f t="shared" si="272"/>
        <v>1.3926862161630839E-2</v>
      </c>
      <c r="BU203" s="546"/>
      <c r="BV203" s="656">
        <f t="shared" si="309"/>
        <v>3.8841298992161259E-2</v>
      </c>
      <c r="BW203" s="472">
        <f t="shared" si="316"/>
        <v>243.48509608460191</v>
      </c>
      <c r="BX203" s="179">
        <f t="shared" si="317"/>
        <v>0.53971122323692733</v>
      </c>
      <c r="BY203" s="6">
        <f t="shared" si="318"/>
        <v>4.6872000000000007</v>
      </c>
      <c r="BZ203" s="179">
        <f t="shared" si="319"/>
        <v>0.89674375550180208</v>
      </c>
      <c r="CA203" s="6">
        <f t="shared" si="320"/>
        <v>89.674375550180201</v>
      </c>
      <c r="CB203">
        <f t="shared" si="321"/>
        <v>93</v>
      </c>
      <c r="CD203" s="581">
        <f t="shared" si="310"/>
        <v>-50</v>
      </c>
      <c r="CE203">
        <f t="shared" si="311"/>
        <v>-50</v>
      </c>
    </row>
    <row r="204" spans="5:83" x14ac:dyDescent="0.2">
      <c r="E204" s="176">
        <v>94</v>
      </c>
      <c r="F204" s="223">
        <f t="shared" si="312"/>
        <v>0.10339999999999999</v>
      </c>
      <c r="G204" s="223">
        <f t="shared" si="279"/>
        <v>0.188</v>
      </c>
      <c r="H204" s="223">
        <f t="shared" si="280"/>
        <v>2.4815999999999998</v>
      </c>
      <c r="I204" s="223">
        <f t="shared" si="281"/>
        <v>2.2560000000000002</v>
      </c>
      <c r="J204" s="559">
        <f t="shared" si="282"/>
        <v>10</v>
      </c>
      <c r="K204" s="454">
        <f t="shared" si="283"/>
        <v>24.25</v>
      </c>
      <c r="L204" s="454">
        <f t="shared" si="284"/>
        <v>34.25</v>
      </c>
      <c r="M204" s="454"/>
      <c r="N204" s="223">
        <f t="shared" si="285"/>
        <v>0.70802919708029199</v>
      </c>
      <c r="O204" s="178">
        <f t="shared" si="286"/>
        <v>2.5543839068474097</v>
      </c>
      <c r="P204" s="178">
        <f t="shared" si="287"/>
        <v>4.4332282680822832</v>
      </c>
      <c r="Q204" s="223">
        <f t="shared" si="288"/>
        <v>0.10643266278530873</v>
      </c>
      <c r="R204" s="223">
        <f t="shared" si="289"/>
        <v>0.21286532557061746</v>
      </c>
      <c r="S204" s="223">
        <f t="shared" si="290"/>
        <v>24</v>
      </c>
      <c r="T204" s="223">
        <f t="shared" si="291"/>
        <v>1.4086841020075964</v>
      </c>
      <c r="U204" s="223">
        <f t="shared" si="292"/>
        <v>6.6208152794357034</v>
      </c>
      <c r="V204" s="223">
        <f t="shared" si="293"/>
        <v>2.7302331049219393</v>
      </c>
      <c r="W204" s="203">
        <f t="shared" si="294"/>
        <v>350</v>
      </c>
      <c r="X204" s="454">
        <f t="shared" si="295"/>
        <v>106.93988084510308</v>
      </c>
      <c r="Z204" s="223">
        <f t="shared" si="296"/>
        <v>0.43041288576309544</v>
      </c>
      <c r="AA204" s="179">
        <f t="shared" si="297"/>
        <v>0.83420229405630864</v>
      </c>
      <c r="AB204" s="179">
        <f t="shared" si="298"/>
        <v>3.2913046530372254E-2</v>
      </c>
      <c r="AC204" s="179"/>
      <c r="AD204" s="179">
        <f t="shared" si="299"/>
        <v>0.56206185567010303</v>
      </c>
      <c r="AE204" s="563">
        <f t="shared" si="300"/>
        <v>1268.7277051129608</v>
      </c>
      <c r="AF204" s="546">
        <f t="shared" si="301"/>
        <v>2.8524639175257726E-2</v>
      </c>
      <c r="AH204" s="179">
        <f t="shared" si="302"/>
        <v>0.7589466384404111</v>
      </c>
      <c r="AI204" s="179">
        <f t="shared" si="303"/>
        <v>1.4086841020075964</v>
      </c>
      <c r="AJ204" s="179">
        <f t="shared" si="304"/>
        <v>2.0286548903759973</v>
      </c>
      <c r="AL204" s="563">
        <f t="shared" si="305"/>
        <v>103.39999999999999</v>
      </c>
      <c r="AM204" s="472">
        <f t="shared" si="306"/>
        <v>106.93988084510308</v>
      </c>
      <c r="AO204">
        <f t="shared" si="307"/>
        <v>103.39999999999999</v>
      </c>
      <c r="AP204">
        <f t="shared" si="308"/>
        <v>106.93988084510308</v>
      </c>
      <c r="AR204" s="6">
        <f t="shared" si="322"/>
        <v>9.3510483843576431</v>
      </c>
      <c r="AS204" s="6">
        <f t="shared" si="313"/>
        <v>6.6208152794357034</v>
      </c>
      <c r="AT204" s="6">
        <f t="shared" si="314"/>
        <v>2.7302331049219397</v>
      </c>
      <c r="AU204" s="179">
        <f t="shared" si="315"/>
        <v>0.70802919708029199</v>
      </c>
      <c r="AW204" s="6">
        <f t="shared" si="254"/>
        <v>2.8524679162235484</v>
      </c>
      <c r="AX204" s="6">
        <f t="shared" si="255"/>
        <v>10.372610604449269</v>
      </c>
      <c r="AY204" s="6">
        <f t="shared" si="256"/>
        <v>1.1886572759954883</v>
      </c>
      <c r="AZ204" s="6"/>
      <c r="BA204" s="179">
        <f t="shared" si="257"/>
        <v>0.68435046944497469</v>
      </c>
      <c r="BB204" s="179">
        <f t="shared" si="258"/>
        <v>0.43946338647653643</v>
      </c>
      <c r="BC204" s="179">
        <f t="shared" si="259"/>
        <v>0.79087102946612309</v>
      </c>
      <c r="BD204" s="179"/>
      <c r="BE204" s="546">
        <f t="shared" si="260"/>
        <v>0.16391744776034503</v>
      </c>
      <c r="BF204" s="546">
        <f t="shared" si="261"/>
        <v>3.8696808510638288E-2</v>
      </c>
      <c r="BG204" s="546">
        <f t="shared" si="262"/>
        <v>1.3367485105637883E-3</v>
      </c>
      <c r="BH204" s="546">
        <f t="shared" si="263"/>
        <v>6.2723581986929358E-3</v>
      </c>
      <c r="BI204">
        <f t="shared" si="264"/>
        <v>2.8999999999999998E-3</v>
      </c>
      <c r="BK204" s="472">
        <f t="shared" si="265"/>
        <v>213.12336298024005</v>
      </c>
      <c r="BL204" s="179">
        <f t="shared" si="266"/>
        <v>3.1019999999999995E-2</v>
      </c>
      <c r="BM204" s="179">
        <f t="shared" si="267"/>
        <v>5.6399999999999999E-2</v>
      </c>
      <c r="BN204" s="546"/>
      <c r="BP204" s="472">
        <f t="shared" si="268"/>
        <v>87.42</v>
      </c>
      <c r="BQ204" s="546">
        <f t="shared" si="269"/>
        <v>9.3667113005911462E-2</v>
      </c>
      <c r="BR204" s="546">
        <f t="shared" si="270"/>
        <v>3.8625613610685124E-2</v>
      </c>
      <c r="BS204" s="546">
        <f t="shared" si="271"/>
        <v>6.2547698524880541E-2</v>
      </c>
      <c r="BT204" s="546">
        <f t="shared" si="272"/>
        <v>1.392686216163086E-2</v>
      </c>
      <c r="BU204" s="546"/>
      <c r="BV204" s="656">
        <f t="shared" si="309"/>
        <v>3.9258947368421053E-2</v>
      </c>
      <c r="BW204" s="472">
        <f t="shared" si="316"/>
        <v>248.02623467152904</v>
      </c>
      <c r="BX204" s="179">
        <f t="shared" si="317"/>
        <v>0.54856959765176905</v>
      </c>
      <c r="BY204" s="6">
        <f t="shared" si="318"/>
        <v>4.7376000000000005</v>
      </c>
      <c r="BZ204" s="179">
        <f t="shared" si="319"/>
        <v>0.89622550175169269</v>
      </c>
      <c r="CA204" s="6">
        <f t="shared" si="320"/>
        <v>89.622550175169266</v>
      </c>
      <c r="CB204">
        <f t="shared" si="321"/>
        <v>94</v>
      </c>
      <c r="CD204" s="581">
        <f t="shared" si="310"/>
        <v>-50</v>
      </c>
      <c r="CE204">
        <f t="shared" si="311"/>
        <v>-50</v>
      </c>
    </row>
    <row r="205" spans="5:83" x14ac:dyDescent="0.2">
      <c r="E205" s="176">
        <v>95</v>
      </c>
      <c r="F205" s="223">
        <f t="shared" si="312"/>
        <v>0.1045</v>
      </c>
      <c r="G205" s="223">
        <f t="shared" si="279"/>
        <v>0.19</v>
      </c>
      <c r="H205" s="223">
        <f t="shared" si="280"/>
        <v>2.508</v>
      </c>
      <c r="I205" s="223">
        <f t="shared" si="281"/>
        <v>2.2800000000000002</v>
      </c>
      <c r="J205" s="559">
        <f t="shared" si="282"/>
        <v>10</v>
      </c>
      <c r="K205" s="454">
        <f t="shared" si="283"/>
        <v>24.25</v>
      </c>
      <c r="L205" s="454">
        <f t="shared" si="284"/>
        <v>34.25</v>
      </c>
      <c r="M205" s="454"/>
      <c r="N205" s="223">
        <f t="shared" si="285"/>
        <v>0.70802919708029199</v>
      </c>
      <c r="O205" s="178">
        <f t="shared" si="286"/>
        <v>2.5543839068474097</v>
      </c>
      <c r="P205" s="178">
        <f t="shared" si="287"/>
        <v>4.4332282680822832</v>
      </c>
      <c r="Q205" s="223">
        <f t="shared" si="288"/>
        <v>0.10643266278530873</v>
      </c>
      <c r="R205" s="223">
        <f t="shared" si="289"/>
        <v>0.21286532557061746</v>
      </c>
      <c r="S205" s="223">
        <f t="shared" si="290"/>
        <v>24</v>
      </c>
      <c r="T205" s="223">
        <f t="shared" si="291"/>
        <v>1.4236701030927834</v>
      </c>
      <c r="U205" s="223">
        <f t="shared" si="292"/>
        <v>6.6912494845360815</v>
      </c>
      <c r="V205" s="223">
        <f t="shared" si="293"/>
        <v>2.7592781379530233</v>
      </c>
      <c r="W205" s="203">
        <f t="shared" si="294"/>
        <v>350</v>
      </c>
      <c r="X205" s="454">
        <f t="shared" si="295"/>
        <v>105.81419788883886</v>
      </c>
      <c r="Z205" s="223">
        <f t="shared" si="296"/>
        <v>0.43041288576309544</v>
      </c>
      <c r="AA205" s="179">
        <f t="shared" si="297"/>
        <v>0.83420229405630864</v>
      </c>
      <c r="AB205" s="179">
        <f t="shared" si="298"/>
        <v>3.2913046530372254E-2</v>
      </c>
      <c r="AC205" s="179"/>
      <c r="AD205" s="179">
        <f t="shared" si="299"/>
        <v>0.56206185567010303</v>
      </c>
      <c r="AE205" s="563">
        <f t="shared" si="300"/>
        <v>1282.2248083588433</v>
      </c>
      <c r="AF205" s="546">
        <f t="shared" si="301"/>
        <v>2.8524639175257726E-2</v>
      </c>
      <c r="AH205" s="179">
        <f t="shared" si="302"/>
        <v>0.76297290880769031</v>
      </c>
      <c r="AI205" s="179">
        <f t="shared" si="303"/>
        <v>1.4236701030927834</v>
      </c>
      <c r="AJ205" s="179">
        <f t="shared" si="304"/>
        <v>2.0397556319205803</v>
      </c>
      <c r="AL205" s="563">
        <f t="shared" si="305"/>
        <v>104.5</v>
      </c>
      <c r="AM205" s="472">
        <f t="shared" si="306"/>
        <v>105.81419788883886</v>
      </c>
      <c r="AO205">
        <f t="shared" si="307"/>
        <v>104.5</v>
      </c>
      <c r="AP205">
        <f t="shared" si="308"/>
        <v>105.81419788883886</v>
      </c>
      <c r="AR205" s="6">
        <f t="shared" si="322"/>
        <v>9.4505276224891048</v>
      </c>
      <c r="AS205" s="6">
        <f t="shared" si="313"/>
        <v>6.6912494845360815</v>
      </c>
      <c r="AT205" s="6">
        <f t="shared" si="314"/>
        <v>2.7592781379530233</v>
      </c>
      <c r="AU205" s="179">
        <f t="shared" si="315"/>
        <v>0.70802919708029199</v>
      </c>
      <c r="AW205" s="6">
        <f t="shared" si="254"/>
        <v>2.9134815463917518</v>
      </c>
      <c r="AX205" s="6">
        <f t="shared" si="255"/>
        <v>10.594478350515462</v>
      </c>
      <c r="AY205" s="6">
        <f t="shared" si="256"/>
        <v>1.2140823806993302</v>
      </c>
      <c r="AZ205" s="6"/>
      <c r="BA205" s="179">
        <f t="shared" si="257"/>
        <v>0.69163079358800617</v>
      </c>
      <c r="BB205" s="179">
        <f t="shared" si="258"/>
        <v>0.44413852888586119</v>
      </c>
      <c r="BC205" s="179">
        <f t="shared" si="259"/>
        <v>0.79928455105618812</v>
      </c>
      <c r="BD205" s="179"/>
      <c r="BE205" s="546">
        <f t="shared" si="260"/>
        <v>0.16742360412371132</v>
      </c>
      <c r="BF205" s="546">
        <f t="shared" si="261"/>
        <v>3.8696808510638295E-2</v>
      </c>
      <c r="BG205" s="546">
        <f t="shared" si="262"/>
        <v>1.3226774736104856E-3</v>
      </c>
      <c r="BH205" s="546">
        <f t="shared" si="263"/>
        <v>6.2063333755488018E-3</v>
      </c>
      <c r="BI205">
        <f t="shared" si="264"/>
        <v>2.8999999999999998E-3</v>
      </c>
      <c r="BK205" s="472">
        <f t="shared" si="265"/>
        <v>216.54942348350886</v>
      </c>
      <c r="BL205" s="179">
        <f t="shared" si="266"/>
        <v>3.1349999999999996E-2</v>
      </c>
      <c r="BM205" s="179">
        <f t="shared" si="267"/>
        <v>5.6999999999999995E-2</v>
      </c>
      <c r="BN205" s="546"/>
      <c r="BP205" s="472">
        <f t="shared" si="268"/>
        <v>88.34999999999998</v>
      </c>
      <c r="BQ205" s="546">
        <f t="shared" si="269"/>
        <v>9.5670630927835051E-2</v>
      </c>
      <c r="BR205" s="546">
        <f t="shared" si="270"/>
        <v>3.9451806568179398E-2</v>
      </c>
      <c r="BS205" s="546">
        <f t="shared" si="271"/>
        <v>6.3885579355709224E-2</v>
      </c>
      <c r="BT205" s="546">
        <f t="shared" si="272"/>
        <v>1.3926862161630842E-2</v>
      </c>
      <c r="BU205" s="546"/>
      <c r="BV205" s="656">
        <f t="shared" si="309"/>
        <v>3.9676595744680847E-2</v>
      </c>
      <c r="BW205" s="472">
        <f t="shared" si="316"/>
        <v>252.61147475803531</v>
      </c>
      <c r="BX205" s="179">
        <f t="shared" si="317"/>
        <v>0.55751089824154432</v>
      </c>
      <c r="BY205" s="6">
        <f t="shared" si="318"/>
        <v>4.7880000000000003</v>
      </c>
      <c r="BZ205" s="179">
        <f t="shared" si="319"/>
        <v>0.89570484302539866</v>
      </c>
      <c r="CA205" s="6">
        <f t="shared" si="320"/>
        <v>89.570484302539867</v>
      </c>
      <c r="CB205">
        <f t="shared" si="321"/>
        <v>95</v>
      </c>
      <c r="CD205" s="581">
        <f t="shared" si="310"/>
        <v>-50</v>
      </c>
      <c r="CE205">
        <f t="shared" si="311"/>
        <v>-50</v>
      </c>
    </row>
    <row r="206" spans="5:83" x14ac:dyDescent="0.2">
      <c r="E206" s="176">
        <v>96</v>
      </c>
      <c r="F206" s="223">
        <f t="shared" si="312"/>
        <v>0.1056</v>
      </c>
      <c r="G206" s="223">
        <f t="shared" si="279"/>
        <v>0.192</v>
      </c>
      <c r="H206" s="223">
        <f t="shared" si="280"/>
        <v>2.5343999999999998</v>
      </c>
      <c r="I206" s="223">
        <f t="shared" si="281"/>
        <v>2.3040000000000003</v>
      </c>
      <c r="J206" s="559">
        <f t="shared" si="282"/>
        <v>10</v>
      </c>
      <c r="K206" s="454">
        <f t="shared" si="283"/>
        <v>24.25</v>
      </c>
      <c r="L206" s="454">
        <f t="shared" si="284"/>
        <v>34.25</v>
      </c>
      <c r="M206" s="454"/>
      <c r="N206" s="223">
        <f t="shared" si="285"/>
        <v>0.70802919708029199</v>
      </c>
      <c r="O206" s="178">
        <f t="shared" ref="O206:O210" si="323">N206*J206*Isw_max*0.5*Efficiency*Pout/(Pout+Pout2)</f>
        <v>2.5543839068474097</v>
      </c>
      <c r="P206" s="178">
        <f t="shared" si="287"/>
        <v>4.4332282680822832</v>
      </c>
      <c r="Q206" s="223">
        <f t="shared" si="288"/>
        <v>0.10643266278530873</v>
      </c>
      <c r="R206" s="223">
        <f t="shared" si="289"/>
        <v>0.21286532557061746</v>
      </c>
      <c r="S206" s="223">
        <f t="shared" si="290"/>
        <v>24</v>
      </c>
      <c r="T206" s="223">
        <f t="shared" si="291"/>
        <v>1.4386561041779706</v>
      </c>
      <c r="U206" s="223">
        <f t="shared" si="292"/>
        <v>6.7616836896364614</v>
      </c>
      <c r="V206" s="223">
        <f t="shared" si="293"/>
        <v>2.7883231709841079</v>
      </c>
      <c r="W206" s="203">
        <f t="shared" si="294"/>
        <v>350</v>
      </c>
      <c r="X206" s="454">
        <f t="shared" si="295"/>
        <v>104.71196666083011</v>
      </c>
      <c r="Z206" s="223">
        <f t="shared" si="296"/>
        <v>0.43041288576309544</v>
      </c>
      <c r="AA206" s="179">
        <f t="shared" si="297"/>
        <v>0.83420229405630864</v>
      </c>
      <c r="AB206" s="179">
        <f t="shared" ref="AB206:AB210" si="324">0.5*AA206*Z206*Nps*W206/1000*(Pout/(Pout+Pout2))</f>
        <v>3.2913046530372254E-2</v>
      </c>
      <c r="AC206" s="179"/>
      <c r="AD206" s="179">
        <f t="shared" si="299"/>
        <v>0.56206185567010303</v>
      </c>
      <c r="AE206" s="563">
        <f t="shared" ref="AE206:AE210" si="325">MAX(10, F206/(0.5*AD206/1000000*Isw_min*Nps)/1000*Pout_total/Pout)</f>
        <v>1295.7219116047263</v>
      </c>
      <c r="AF206" s="546">
        <f t="shared" si="301"/>
        <v>2.8524639175257726E-2</v>
      </c>
      <c r="AH206" s="179">
        <f t="shared" si="302"/>
        <v>0.76697804345948273</v>
      </c>
      <c r="AI206" s="179">
        <f t="shared" ref="AI206:AI210" si="326">MAX(IF(F206&gt;AB206,T206,AH206),Isw_min)</f>
        <v>1.4386561041779706</v>
      </c>
      <c r="AJ206" s="179">
        <f t="shared" ref="AJ206:AJ210" si="327">IF(F206&gt;AF206, (AI206-Isw_min)/1.08*0.8+1.2, AE206*0.2/350+1)</f>
        <v>2.0508563734651633</v>
      </c>
      <c r="AL206" s="563">
        <f t="shared" si="305"/>
        <v>105.6</v>
      </c>
      <c r="AM206" s="472">
        <f t="shared" si="306"/>
        <v>104.71196666083011</v>
      </c>
      <c r="AO206">
        <f t="shared" si="307"/>
        <v>105.6</v>
      </c>
      <c r="AP206">
        <f t="shared" si="308"/>
        <v>104.71196666083011</v>
      </c>
      <c r="AR206" s="6">
        <f t="shared" si="322"/>
        <v>9.5500068606205701</v>
      </c>
      <c r="AS206" s="6">
        <f t="shared" si="313"/>
        <v>6.7616836896364614</v>
      </c>
      <c r="AT206" s="6">
        <f t="shared" si="314"/>
        <v>2.7883231709841088</v>
      </c>
      <c r="AU206" s="179">
        <f t="shared" si="315"/>
        <v>0.70802919708029188</v>
      </c>
      <c r="AW206" s="6">
        <f t="shared" si="254"/>
        <v>2.9751408234400434</v>
      </c>
      <c r="AX206" s="6">
        <f t="shared" si="255"/>
        <v>10.818693903418337</v>
      </c>
      <c r="AY206" s="6">
        <f t="shared" si="256"/>
        <v>1.2397765341301974</v>
      </c>
      <c r="AZ206" s="6"/>
      <c r="BA206" s="179">
        <f t="shared" si="257"/>
        <v>0.69891111773103776</v>
      </c>
      <c r="BB206" s="179">
        <f t="shared" si="258"/>
        <v>0.44881367129518612</v>
      </c>
      <c r="BC206" s="179">
        <f t="shared" si="259"/>
        <v>0.80769807264625337</v>
      </c>
      <c r="BD206" s="179"/>
      <c r="BE206" s="546">
        <f t="shared" si="260"/>
        <v>0.17096686267081695</v>
      </c>
      <c r="BF206" s="546">
        <f t="shared" si="261"/>
        <v>3.8696808510638295E-2</v>
      </c>
      <c r="BG206" s="546">
        <f t="shared" si="262"/>
        <v>1.3088995832603763E-3</v>
      </c>
      <c r="BH206" s="546">
        <f t="shared" si="263"/>
        <v>6.1416840695535007E-3</v>
      </c>
      <c r="BI206">
        <f t="shared" si="264"/>
        <v>2.8999999999999998E-3</v>
      </c>
      <c r="BK206" s="472">
        <f t="shared" si="265"/>
        <v>220.01425483426911</v>
      </c>
      <c r="BL206" s="179">
        <f t="shared" si="266"/>
        <v>3.168E-2</v>
      </c>
      <c r="BM206" s="179">
        <f t="shared" si="267"/>
        <v>5.7599999999999998E-2</v>
      </c>
      <c r="BN206" s="546"/>
      <c r="BP206" s="472">
        <f t="shared" si="268"/>
        <v>89.28</v>
      </c>
      <c r="BQ206" s="546">
        <f t="shared" si="269"/>
        <v>9.7695350097609712E-2</v>
      </c>
      <c r="BR206" s="546">
        <f t="shared" si="270"/>
        <v>4.0286742308292683E-2</v>
      </c>
      <c r="BS206" s="546">
        <f t="shared" si="271"/>
        <v>6.5237617655647243E-2</v>
      </c>
      <c r="BT206" s="546">
        <f t="shared" si="272"/>
        <v>1.3926862161630851E-2</v>
      </c>
      <c r="BU206" s="546"/>
      <c r="BV206" s="656">
        <f t="shared" si="309"/>
        <v>4.0094244120940647E-2</v>
      </c>
      <c r="BW206" s="472">
        <f t="shared" si="316"/>
        <v>257.24081634412119</v>
      </c>
      <c r="BX206" s="179">
        <f t="shared" si="317"/>
        <v>0.5665350711783903</v>
      </c>
      <c r="BY206" s="6">
        <f t="shared" si="318"/>
        <v>4.8384</v>
      </c>
      <c r="BZ206" s="179">
        <f t="shared" si="319"/>
        <v>0.89518189141634341</v>
      </c>
      <c r="CA206" s="6">
        <f t="shared" si="320"/>
        <v>89.518189141634338</v>
      </c>
      <c r="CB206">
        <f t="shared" si="321"/>
        <v>96</v>
      </c>
      <c r="CD206" s="581">
        <f t="shared" si="310"/>
        <v>-50</v>
      </c>
      <c r="CE206">
        <f t="shared" si="311"/>
        <v>-50</v>
      </c>
    </row>
    <row r="207" spans="5:83" x14ac:dyDescent="0.2">
      <c r="E207" s="176">
        <v>97</v>
      </c>
      <c r="F207" s="223">
        <f t="shared" ref="F207:F210" si="328">IF(PLOT_TYPE=1, E207/100*Iout_max, min_I*EXP(O207*rr/100))</f>
        <v>0.1067</v>
      </c>
      <c r="G207" s="223">
        <f t="shared" si="279"/>
        <v>0.19400000000000001</v>
      </c>
      <c r="H207" s="223">
        <f t="shared" si="280"/>
        <v>2.5608</v>
      </c>
      <c r="I207" s="223">
        <f t="shared" si="281"/>
        <v>2.3280000000000003</v>
      </c>
      <c r="J207" s="559">
        <f t="shared" si="282"/>
        <v>10</v>
      </c>
      <c r="K207" s="454">
        <f t="shared" si="283"/>
        <v>24.189867917970098</v>
      </c>
      <c r="L207" s="454">
        <f t="shared" si="284"/>
        <v>34.25</v>
      </c>
      <c r="M207" s="454"/>
      <c r="N207" s="223">
        <f t="shared" si="285"/>
        <v>0.70802919708029199</v>
      </c>
      <c r="O207" s="178">
        <f t="shared" si="323"/>
        <v>2.5543839068474097</v>
      </c>
      <c r="P207" s="178">
        <f t="shared" si="287"/>
        <v>4.4332282680822832</v>
      </c>
      <c r="Q207" s="223">
        <f t="shared" si="288"/>
        <v>0.10643266278530873</v>
      </c>
      <c r="R207" s="223">
        <f t="shared" si="289"/>
        <v>0.21286532557061746</v>
      </c>
      <c r="S207" s="223">
        <f t="shared" si="290"/>
        <v>23.939867917970098</v>
      </c>
      <c r="T207" s="223">
        <f t="shared" si="291"/>
        <v>1.45</v>
      </c>
      <c r="U207" s="223">
        <f t="shared" si="292"/>
        <v>6.8149999999999995</v>
      </c>
      <c r="V207" s="223">
        <f t="shared" si="293"/>
        <v>2.8172952506852225</v>
      </c>
      <c r="W207" s="203">
        <f t="shared" si="294"/>
        <v>350</v>
      </c>
      <c r="X207" s="454">
        <f t="shared" si="295"/>
        <v>103.81741568073944</v>
      </c>
      <c r="Z207" s="223">
        <f t="shared" si="296"/>
        <v>0.43010072210592049</v>
      </c>
      <c r="AA207" s="179">
        <f t="shared" si="297"/>
        <v>0.83566946324503077</v>
      </c>
      <c r="AB207" s="179">
        <f t="shared" si="324"/>
        <v>3.2947020295159175E-2</v>
      </c>
      <c r="AC207" s="179"/>
      <c r="AD207" s="179">
        <f t="shared" si="299"/>
        <v>0.56345905013704456</v>
      </c>
      <c r="AE207" s="563">
        <f t="shared" si="325"/>
        <v>1305.9725791724188</v>
      </c>
      <c r="AF207" s="546">
        <f t="shared" si="301"/>
        <v>2.8595546794455008E-2</v>
      </c>
      <c r="AH207" s="179">
        <f t="shared" si="302"/>
        <v>0.77096237179476168</v>
      </c>
      <c r="AI207" s="179">
        <f t="shared" si="326"/>
        <v>1.45</v>
      </c>
      <c r="AJ207" s="179">
        <f t="shared" si="327"/>
        <v>2.0592592592592593</v>
      </c>
      <c r="AL207" s="563">
        <f t="shared" si="305"/>
        <v>106.7</v>
      </c>
      <c r="AM207" s="472">
        <f t="shared" si="306"/>
        <v>103.81741568073944</v>
      </c>
      <c r="AO207" t="str">
        <f t="shared" si="307"/>
        <v/>
      </c>
      <c r="AP207" t="str">
        <f t="shared" si="308"/>
        <v/>
      </c>
      <c r="AR207" s="6">
        <f t="shared" si="322"/>
        <v>9.6322952506852211</v>
      </c>
      <c r="AS207" s="6">
        <f t="shared" si="313"/>
        <v>6.8149999999999995</v>
      </c>
      <c r="AT207" s="6">
        <f t="shared" si="314"/>
        <v>2.8172952506852216</v>
      </c>
      <c r="AU207" s="179">
        <f t="shared" si="315"/>
        <v>0.70751568786423935</v>
      </c>
      <c r="AW207" s="6">
        <f t="shared" si="254"/>
        <v>3.0298354166666668</v>
      </c>
      <c r="AX207" s="6">
        <f t="shared" si="255"/>
        <v>11.017583333333333</v>
      </c>
      <c r="AY207" s="6">
        <f t="shared" si="256"/>
        <v>1.2657069610446867</v>
      </c>
      <c r="AZ207" s="6"/>
      <c r="BA207" s="179">
        <f t="shared" si="257"/>
        <v>0.70416658392139075</v>
      </c>
      <c r="BB207" s="179">
        <f t="shared" si="258"/>
        <v>0.45275021305551283</v>
      </c>
      <c r="BC207" s="179">
        <f t="shared" si="259"/>
        <v>0.81478238713144235</v>
      </c>
      <c r="BD207" s="179"/>
      <c r="BE207" s="546">
        <f t="shared" si="260"/>
        <v>0.17354770226903235</v>
      </c>
      <c r="BF207" s="546">
        <f t="shared" si="261"/>
        <v>3.8668743046835423E-2</v>
      </c>
      <c r="BG207" s="546">
        <f t="shared" si="262"/>
        <v>1.297717696009243E-3</v>
      </c>
      <c r="BH207" s="546">
        <f t="shared" si="263"/>
        <v>6.0892158590993709E-3</v>
      </c>
      <c r="BI207">
        <f t="shared" si="264"/>
        <v>2.8999999999999998E-3</v>
      </c>
      <c r="BK207" s="472">
        <f t="shared" si="265"/>
        <v>222.50337887097643</v>
      </c>
      <c r="BL207" s="179">
        <f t="shared" si="266"/>
        <v>3.2009999999999997E-2</v>
      </c>
      <c r="BM207" s="179">
        <f t="shared" si="267"/>
        <v>5.8200000000000002E-2</v>
      </c>
      <c r="BN207" s="546"/>
      <c r="BP207" s="472">
        <f t="shared" si="268"/>
        <v>90.21</v>
      </c>
      <c r="BQ207" s="546">
        <f t="shared" si="269"/>
        <v>9.9170115582304208E-2</v>
      </c>
      <c r="BR207" s="546">
        <f t="shared" si="270"/>
        <v>4.0996551084362454E-2</v>
      </c>
      <c r="BS207" s="546">
        <f t="shared" si="271"/>
        <v>6.6387033837961171E-2</v>
      </c>
      <c r="BT207" s="546">
        <f t="shared" si="272"/>
        <v>1.3901624210715252E-2</v>
      </c>
      <c r="BU207" s="546"/>
      <c r="BV207" s="656">
        <f t="shared" si="309"/>
        <v>4.038108154671962E-2</v>
      </c>
      <c r="BW207" s="472">
        <f t="shared" si="316"/>
        <v>260.83640626206272</v>
      </c>
      <c r="BX207" s="179">
        <f t="shared" si="317"/>
        <v>0.57354978513303911</v>
      </c>
      <c r="BY207" s="6">
        <f t="shared" si="318"/>
        <v>4.8887999999999998</v>
      </c>
      <c r="BZ207" s="179">
        <f t="shared" si="319"/>
        <v>0.89499944022367839</v>
      </c>
      <c r="CA207" s="6">
        <f t="shared" si="320"/>
        <v>89.499944022367842</v>
      </c>
      <c r="CB207">
        <f t="shared" si="321"/>
        <v>97</v>
      </c>
      <c r="CD207" s="581">
        <f t="shared" si="310"/>
        <v>103.81741568073944</v>
      </c>
      <c r="CE207">
        <f t="shared" si="311"/>
        <v>6.2539089850622345</v>
      </c>
    </row>
    <row r="208" spans="5:83" x14ac:dyDescent="0.2">
      <c r="E208" s="176">
        <v>98</v>
      </c>
      <c r="F208" s="223">
        <f t="shared" si="328"/>
        <v>0.10779999999999999</v>
      </c>
      <c r="G208" s="223">
        <f t="shared" si="279"/>
        <v>0.19600000000000001</v>
      </c>
      <c r="H208" s="223">
        <f t="shared" si="280"/>
        <v>2.5871999999999997</v>
      </c>
      <c r="I208" s="223">
        <f t="shared" si="281"/>
        <v>2.3520000000000003</v>
      </c>
      <c r="J208" s="559">
        <f t="shared" si="282"/>
        <v>10</v>
      </c>
      <c r="K208" s="454">
        <f t="shared" si="283"/>
        <v>23.945583551460203</v>
      </c>
      <c r="L208" s="454">
        <f t="shared" si="284"/>
        <v>34.25</v>
      </c>
      <c r="M208" s="454"/>
      <c r="N208" s="223">
        <f t="shared" si="285"/>
        <v>0.70802919708029199</v>
      </c>
      <c r="O208" s="178">
        <f t="shared" si="323"/>
        <v>2.5543839068474097</v>
      </c>
      <c r="P208" s="178">
        <f t="shared" si="287"/>
        <v>4.4332282680822832</v>
      </c>
      <c r="Q208" s="223">
        <f t="shared" si="288"/>
        <v>0.10643266278530873</v>
      </c>
      <c r="R208" s="223">
        <f t="shared" si="289"/>
        <v>0.21286532557061746</v>
      </c>
      <c r="S208" s="223">
        <f t="shared" si="290"/>
        <v>23.695583551460203</v>
      </c>
      <c r="T208" s="223">
        <f t="shared" si="291"/>
        <v>1.45</v>
      </c>
      <c r="U208" s="223">
        <f t="shared" si="292"/>
        <v>6.8149999999999995</v>
      </c>
      <c r="V208" s="223">
        <f t="shared" si="293"/>
        <v>2.8460362994930728</v>
      </c>
      <c r="W208" s="203">
        <f t="shared" si="294"/>
        <v>350</v>
      </c>
      <c r="X208" s="454">
        <f t="shared" si="295"/>
        <v>103.50856460941682</v>
      </c>
      <c r="Z208" s="223">
        <f t="shared" si="296"/>
        <v>0.42882119623901255</v>
      </c>
      <c r="AA208" s="179">
        <f t="shared" si="297"/>
        <v>0.84168323481949814</v>
      </c>
      <c r="AB208" s="179">
        <f t="shared" si="324"/>
        <v>3.3085397730881726E-2</v>
      </c>
      <c r="AC208" s="179"/>
      <c r="AD208" s="179">
        <f t="shared" si="299"/>
        <v>0.56920725989861454</v>
      </c>
      <c r="AE208" s="563">
        <f t="shared" si="325"/>
        <v>1306.1117245667065</v>
      </c>
      <c r="AF208" s="546">
        <f t="shared" si="301"/>
        <v>2.8887268439854688E-2</v>
      </c>
      <c r="AH208" s="179">
        <f t="shared" si="302"/>
        <v>0.77492621474426349</v>
      </c>
      <c r="AI208" s="179">
        <f t="shared" si="326"/>
        <v>1.45</v>
      </c>
      <c r="AJ208" s="179">
        <f t="shared" si="327"/>
        <v>2.0592592592592593</v>
      </c>
      <c r="AL208" s="563">
        <f t="shared" si="305"/>
        <v>107.8</v>
      </c>
      <c r="AM208" s="472">
        <f t="shared" si="306"/>
        <v>103.50856460941682</v>
      </c>
      <c r="AO208" t="str">
        <f t="shared" si="307"/>
        <v/>
      </c>
      <c r="AP208" t="str">
        <f t="shared" si="308"/>
        <v/>
      </c>
      <c r="AR208" s="6">
        <f t="shared" si="322"/>
        <v>9.6610362994930732</v>
      </c>
      <c r="AS208" s="6">
        <f t="shared" si="313"/>
        <v>6.8149999999999995</v>
      </c>
      <c r="AT208" s="6">
        <f t="shared" si="314"/>
        <v>2.8460362994930737</v>
      </c>
      <c r="AU208" s="179">
        <f t="shared" si="315"/>
        <v>0.70541086781317563</v>
      </c>
      <c r="AW208" s="6">
        <f t="shared" si="254"/>
        <v>3.061070833333333</v>
      </c>
      <c r="AX208" s="6">
        <f t="shared" si="255"/>
        <v>11.131166666666665</v>
      </c>
      <c r="AY208" s="6">
        <f t="shared" si="256"/>
        <v>1.2918008972014874</v>
      </c>
      <c r="AZ208" s="6"/>
      <c r="BA208" s="179">
        <f t="shared" si="257"/>
        <v>0.70311837542412958</v>
      </c>
      <c r="BB208" s="179">
        <f t="shared" si="258"/>
        <v>0.45437636764500205</v>
      </c>
      <c r="BC208" s="179">
        <f t="shared" si="259"/>
        <v>0.81770886199564385</v>
      </c>
      <c r="BD208" s="179"/>
      <c r="BE208" s="546">
        <f t="shared" si="260"/>
        <v>0.17303140745067352</v>
      </c>
      <c r="BF208" s="546">
        <f t="shared" si="261"/>
        <v>3.8553705674363725E-2</v>
      </c>
      <c r="BG208" s="546">
        <f t="shared" si="262"/>
        <v>1.2938570576177101E-3</v>
      </c>
      <c r="BH208" s="546">
        <f t="shared" si="263"/>
        <v>6.0711007786067011E-3</v>
      </c>
      <c r="BI208">
        <f t="shared" si="264"/>
        <v>2.8999999999999998E-3</v>
      </c>
      <c r="BK208" s="472">
        <f t="shared" si="265"/>
        <v>221.85007096126162</v>
      </c>
      <c r="BL208" s="179">
        <f t="shared" si="266"/>
        <v>3.2339999999999994E-2</v>
      </c>
      <c r="BM208" s="179">
        <f t="shared" si="267"/>
        <v>5.8799999999999998E-2</v>
      </c>
      <c r="BN208" s="546"/>
      <c r="BP208" s="472">
        <f t="shared" si="268"/>
        <v>91.14</v>
      </c>
      <c r="BQ208" s="546">
        <f t="shared" si="269"/>
        <v>9.8875089971813448E-2</v>
      </c>
      <c r="BR208" s="546">
        <f t="shared" si="270"/>
        <v>4.129157669485322E-2</v>
      </c>
      <c r="BS208" s="546">
        <f t="shared" si="271"/>
        <v>6.68647782986211E-2</v>
      </c>
      <c r="BT208" s="546">
        <f t="shared" si="272"/>
        <v>1.3798463375657308E-2</v>
      </c>
      <c r="BU208" s="546"/>
      <c r="BV208" s="656">
        <f t="shared" si="309"/>
        <v>4.0260950061890295E-2</v>
      </c>
      <c r="BW208" s="472">
        <f t="shared" si="316"/>
        <v>261.09085840283535</v>
      </c>
      <c r="BX208" s="179">
        <f t="shared" si="317"/>
        <v>0.57408092936409705</v>
      </c>
      <c r="BY208" s="6">
        <f t="shared" si="318"/>
        <v>4.9391999999999996</v>
      </c>
      <c r="BZ208" s="179">
        <f t="shared" si="319"/>
        <v>0.89587308596837423</v>
      </c>
      <c r="CA208" s="6">
        <f t="shared" si="320"/>
        <v>89.587308596837417</v>
      </c>
      <c r="CB208">
        <f t="shared" si="321"/>
        <v>98</v>
      </c>
      <c r="CD208" s="581">
        <f t="shared" si="310"/>
        <v>-50</v>
      </c>
      <c r="CE208">
        <f t="shared" si="311"/>
        <v>-50</v>
      </c>
    </row>
    <row r="209" spans="5:83" x14ac:dyDescent="0.2">
      <c r="E209" s="176">
        <v>99</v>
      </c>
      <c r="F209" s="223">
        <f t="shared" si="328"/>
        <v>0.1089</v>
      </c>
      <c r="G209" s="223">
        <f t="shared" si="279"/>
        <v>0.19800000000000001</v>
      </c>
      <c r="H209" s="223">
        <f t="shared" si="280"/>
        <v>2.6135999999999999</v>
      </c>
      <c r="I209" s="223">
        <f t="shared" si="281"/>
        <v>2.3760000000000003</v>
      </c>
      <c r="J209" s="559">
        <f t="shared" si="282"/>
        <v>10</v>
      </c>
      <c r="K209" s="454">
        <f t="shared" si="283"/>
        <v>23.706234222657574</v>
      </c>
      <c r="L209" s="454">
        <f t="shared" si="284"/>
        <v>34.25</v>
      </c>
      <c r="M209" s="454"/>
      <c r="N209" s="223">
        <f t="shared" si="285"/>
        <v>0.70802919708029199</v>
      </c>
      <c r="O209" s="178">
        <f t="shared" si="323"/>
        <v>2.5543839068474097</v>
      </c>
      <c r="P209" s="178">
        <f t="shared" si="287"/>
        <v>4.4332282680822832</v>
      </c>
      <c r="Q209" s="223">
        <f t="shared" si="288"/>
        <v>0.10643266278530873</v>
      </c>
      <c r="R209" s="223">
        <f t="shared" si="289"/>
        <v>0.21286532557061746</v>
      </c>
      <c r="S209" s="223">
        <f t="shared" si="290"/>
        <v>23.456234222657574</v>
      </c>
      <c r="T209" s="223">
        <f t="shared" si="291"/>
        <v>1.45</v>
      </c>
      <c r="U209" s="223">
        <f t="shared" si="292"/>
        <v>6.8149999999999995</v>
      </c>
      <c r="V209" s="223">
        <f t="shared" si="293"/>
        <v>2.8747712251515951</v>
      </c>
      <c r="W209" s="203">
        <f t="shared" si="294"/>
        <v>350</v>
      </c>
      <c r="X209" s="454">
        <f t="shared" si="295"/>
        <v>103.20161093218742</v>
      </c>
      <c r="Z209" s="223">
        <f t="shared" si="296"/>
        <v>0.42754953100477644</v>
      </c>
      <c r="AA209" s="179">
        <f t="shared" si="297"/>
        <v>0.84766006142040762</v>
      </c>
      <c r="AB209" s="179">
        <f t="shared" si="324"/>
        <v>3.32215273235794E-2</v>
      </c>
      <c r="AC209" s="179"/>
      <c r="AD209" s="179">
        <f t="shared" si="299"/>
        <v>0.57495424503031911</v>
      </c>
      <c r="AE209" s="563">
        <f t="shared" si="325"/>
        <v>1306.2508699609934</v>
      </c>
      <c r="AF209" s="546">
        <f t="shared" si="301"/>
        <v>2.9178927935288698E-2</v>
      </c>
      <c r="AH209" s="179">
        <f t="shared" si="302"/>
        <v>0.77886988507217336</v>
      </c>
      <c r="AI209" s="179">
        <f t="shared" si="326"/>
        <v>1.45</v>
      </c>
      <c r="AJ209" s="179">
        <f t="shared" si="327"/>
        <v>2.0592592592592593</v>
      </c>
      <c r="AL209" s="563">
        <f t="shared" si="305"/>
        <v>108.89999999999999</v>
      </c>
      <c r="AM209" s="472">
        <f t="shared" si="306"/>
        <v>103.20161093218742</v>
      </c>
      <c r="AO209" t="str">
        <f t="shared" si="307"/>
        <v/>
      </c>
      <c r="AP209" t="str">
        <f t="shared" si="308"/>
        <v/>
      </c>
      <c r="AR209" s="6">
        <f t="shared" si="322"/>
        <v>9.6897712251515955</v>
      </c>
      <c r="AS209" s="6">
        <f t="shared" si="313"/>
        <v>6.8149999999999995</v>
      </c>
      <c r="AT209" s="6">
        <f t="shared" si="314"/>
        <v>2.874771225151596</v>
      </c>
      <c r="AU209" s="179">
        <f t="shared" si="315"/>
        <v>0.70331897850285718</v>
      </c>
      <c r="AW209" s="6">
        <f t="shared" si="254"/>
        <v>3.09230625</v>
      </c>
      <c r="AX209" s="6">
        <f t="shared" si="255"/>
        <v>11.24475</v>
      </c>
      <c r="AY209" s="6">
        <f t="shared" si="256"/>
        <v>1.3181582586063527</v>
      </c>
      <c r="AZ209" s="6"/>
      <c r="BA209" s="179">
        <f t="shared" si="257"/>
        <v>0.70207505588843733</v>
      </c>
      <c r="BB209" s="179">
        <f t="shared" si="258"/>
        <v>0.45598678624778255</v>
      </c>
      <c r="BC209" s="179">
        <f t="shared" si="259"/>
        <v>0.82060701792272561</v>
      </c>
      <c r="BD209" s="179"/>
      <c r="BE209" s="546">
        <f t="shared" si="260"/>
        <v>0.17251828443526335</v>
      </c>
      <c r="BF209" s="546">
        <f t="shared" si="261"/>
        <v>3.8439375021898183E-2</v>
      </c>
      <c r="BG209" s="546">
        <f t="shared" si="262"/>
        <v>1.2900201366523427E-3</v>
      </c>
      <c r="BH209" s="546">
        <f t="shared" si="263"/>
        <v>6.0530969862069555E-3</v>
      </c>
      <c r="BI209">
        <f t="shared" si="264"/>
        <v>2.8999999999999998E-3</v>
      </c>
      <c r="BK209" s="472">
        <f t="shared" si="265"/>
        <v>221.2007765800208</v>
      </c>
      <c r="BL209" s="179">
        <f t="shared" si="266"/>
        <v>3.2669999999999998E-2</v>
      </c>
      <c r="BM209" s="179">
        <f t="shared" si="267"/>
        <v>5.9400000000000001E-2</v>
      </c>
      <c r="BN209" s="546"/>
      <c r="BP209" s="472">
        <f t="shared" si="268"/>
        <v>92.07</v>
      </c>
      <c r="BQ209" s="546">
        <f t="shared" si="269"/>
        <v>9.8581876820150488E-2</v>
      </c>
      <c r="BR209" s="546">
        <f t="shared" si="270"/>
        <v>4.1584789846516187E-2</v>
      </c>
      <c r="BS209" s="546">
        <f t="shared" si="271"/>
        <v>6.7339587786402852E-2</v>
      </c>
      <c r="BT209" s="546">
        <f t="shared" si="272"/>
        <v>1.3696392751850778E-2</v>
      </c>
      <c r="BU209" s="546"/>
      <c r="BV209" s="656">
        <f t="shared" si="309"/>
        <v>4.0141556592210956E-2</v>
      </c>
      <c r="BW209" s="472">
        <f t="shared" si="316"/>
        <v>261.34420379713123</v>
      </c>
      <c r="BX209" s="179">
        <f t="shared" si="317"/>
        <v>0.57461498037715208</v>
      </c>
      <c r="BY209" s="6">
        <f t="shared" si="318"/>
        <v>4.9896000000000003</v>
      </c>
      <c r="BZ209" s="179">
        <f t="shared" si="319"/>
        <v>0.89673026969597713</v>
      </c>
      <c r="CA209" s="6">
        <f t="shared" si="320"/>
        <v>89.673026969597714</v>
      </c>
      <c r="CB209">
        <f t="shared" si="321"/>
        <v>99</v>
      </c>
      <c r="CD209" s="581">
        <f t="shared" si="310"/>
        <v>-50</v>
      </c>
      <c r="CE209">
        <f t="shared" si="311"/>
        <v>-50</v>
      </c>
    </row>
    <row r="210" spans="5:83" x14ac:dyDescent="0.2">
      <c r="E210" s="176">
        <v>100</v>
      </c>
      <c r="F210" s="223">
        <f t="shared" si="328"/>
        <v>0.11</v>
      </c>
      <c r="G210" s="223">
        <f t="shared" si="279"/>
        <v>0.2</v>
      </c>
      <c r="H210" s="223">
        <f t="shared" si="280"/>
        <v>2.64</v>
      </c>
      <c r="I210" s="223">
        <f t="shared" si="281"/>
        <v>2.4000000000000004</v>
      </c>
      <c r="J210" s="559">
        <f t="shared" si="282"/>
        <v>10</v>
      </c>
      <c r="K210" s="454">
        <f t="shared" si="283"/>
        <v>23.471671880430996</v>
      </c>
      <c r="L210" s="454">
        <f t="shared" si="284"/>
        <v>34.25</v>
      </c>
      <c r="M210" s="454"/>
      <c r="N210" s="223">
        <f t="shared" si="285"/>
        <v>0.70802919708029199</v>
      </c>
      <c r="O210" s="178">
        <f t="shared" si="323"/>
        <v>2.5543839068474097</v>
      </c>
      <c r="P210" s="178">
        <f t="shared" si="287"/>
        <v>4.4332282680822832</v>
      </c>
      <c r="Q210" s="223">
        <f t="shared" si="288"/>
        <v>0.10643266278530873</v>
      </c>
      <c r="R210" s="223">
        <f t="shared" si="289"/>
        <v>0.21286532557061746</v>
      </c>
      <c r="S210" s="223">
        <f t="shared" si="290"/>
        <v>23.221671880430996</v>
      </c>
      <c r="T210" s="223">
        <f t="shared" si="291"/>
        <v>1.45</v>
      </c>
      <c r="U210" s="223">
        <f t="shared" si="292"/>
        <v>6.8149999999999995</v>
      </c>
      <c r="V210" s="223">
        <f t="shared" si="293"/>
        <v>2.9035000296173443</v>
      </c>
      <c r="W210" s="203">
        <f t="shared" si="294"/>
        <v>350</v>
      </c>
      <c r="X210" s="454">
        <f t="shared" si="295"/>
        <v>102.89653721793259</v>
      </c>
      <c r="Z210" s="223">
        <f t="shared" si="296"/>
        <v>0.42628565418857789</v>
      </c>
      <c r="AA210" s="179">
        <f t="shared" si="297"/>
        <v>0.85360028245654151</v>
      </c>
      <c r="AB210" s="179">
        <f t="shared" si="324"/>
        <v>3.3355442525399653E-2</v>
      </c>
      <c r="AC210" s="179"/>
      <c r="AD210" s="179">
        <f t="shared" si="299"/>
        <v>0.58070000592346893</v>
      </c>
      <c r="AE210" s="563">
        <f t="shared" si="325"/>
        <v>1306.3900153552813</v>
      </c>
      <c r="AF210" s="546">
        <f t="shared" si="301"/>
        <v>2.9470525300616047E-2</v>
      </c>
      <c r="AH210" s="179">
        <f t="shared" si="302"/>
        <v>0.78279368766413071</v>
      </c>
      <c r="AI210" s="179">
        <f t="shared" si="326"/>
        <v>1.45</v>
      </c>
      <c r="AJ210" s="179">
        <f t="shared" si="327"/>
        <v>2.0592592592592593</v>
      </c>
      <c r="AL210" s="563">
        <f t="shared" si="305"/>
        <v>110</v>
      </c>
      <c r="AM210" s="472">
        <f t="shared" si="306"/>
        <v>102.89653721793259</v>
      </c>
      <c r="AO210" t="str">
        <f t="shared" si="307"/>
        <v/>
      </c>
      <c r="AP210" t="str">
        <f t="shared" si="308"/>
        <v/>
      </c>
      <c r="AR210" s="6">
        <f t="shared" si="322"/>
        <v>9.7185000296173456</v>
      </c>
      <c r="AS210" s="6">
        <f t="shared" si="313"/>
        <v>6.8149999999999995</v>
      </c>
      <c r="AT210" s="6">
        <f t="shared" si="314"/>
        <v>2.9035000296173461</v>
      </c>
      <c r="AU210" s="179">
        <f t="shared" si="315"/>
        <v>0.7012399011402104</v>
      </c>
      <c r="AW210" s="6">
        <f t="shared" si="254"/>
        <v>3.1235416666666662</v>
      </c>
      <c r="AX210" s="6">
        <f t="shared" si="255"/>
        <v>11.358333333333333</v>
      </c>
      <c r="AY210" s="6">
        <f t="shared" si="256"/>
        <v>1.3447789610859289</v>
      </c>
      <c r="AZ210" s="6"/>
      <c r="BA210" s="179">
        <f t="shared" si="257"/>
        <v>0.7010365877630288</v>
      </c>
      <c r="BB210" s="179">
        <f t="shared" si="258"/>
        <v>0.45758172598007291</v>
      </c>
      <c r="BC210" s="179">
        <f t="shared" si="259"/>
        <v>0.82347731762647636</v>
      </c>
      <c r="BD210" s="179"/>
      <c r="BE210" s="546">
        <f t="shared" si="260"/>
        <v>0.17200830408385076</v>
      </c>
      <c r="BF210" s="546">
        <f t="shared" si="261"/>
        <v>3.8325744596891829E-2</v>
      </c>
      <c r="BG210" s="546">
        <f t="shared" si="262"/>
        <v>1.2862067152241573E-3</v>
      </c>
      <c r="BH210" s="546">
        <f t="shared" si="263"/>
        <v>6.0352034595105523E-3</v>
      </c>
      <c r="BI210">
        <f t="shared" si="264"/>
        <v>2.8999999999999998E-3</v>
      </c>
      <c r="BK210" s="472">
        <f t="shared" si="265"/>
        <v>220.55545885547733</v>
      </c>
      <c r="BL210" s="179">
        <f t="shared" si="266"/>
        <v>3.3000000000000002E-2</v>
      </c>
      <c r="BM210" s="179">
        <f t="shared" si="267"/>
        <v>0.06</v>
      </c>
      <c r="BN210" s="546"/>
      <c r="BP210" s="472">
        <f t="shared" si="268"/>
        <v>93</v>
      </c>
      <c r="BQ210" s="546">
        <f t="shared" si="269"/>
        <v>9.8290459476486167E-2</v>
      </c>
      <c r="BR210" s="546">
        <f t="shared" si="270"/>
        <v>4.1876207190180509E-2</v>
      </c>
      <c r="BS210" s="546">
        <f t="shared" si="271"/>
        <v>6.7811489264529665E-2</v>
      </c>
      <c r="BT210" s="546">
        <f t="shared" si="272"/>
        <v>1.3595397474086758E-2</v>
      </c>
      <c r="BU210" s="546"/>
      <c r="BV210" s="656">
        <f t="shared" si="309"/>
        <v>4.0022894357630109E-2</v>
      </c>
      <c r="BW210" s="472">
        <f t="shared" si="316"/>
        <v>261.59644776291321</v>
      </c>
      <c r="BX210" s="179">
        <f t="shared" si="317"/>
        <v>0.57515190661839055</v>
      </c>
      <c r="BY210" s="6">
        <f t="shared" si="318"/>
        <v>5.0400000000000009</v>
      </c>
      <c r="BZ210" s="179">
        <f t="shared" si="319"/>
        <v>0.8975714430912406</v>
      </c>
      <c r="CA210" s="6">
        <f t="shared" si="320"/>
        <v>89.757144309124058</v>
      </c>
      <c r="CB210">
        <f t="shared" si="321"/>
        <v>100</v>
      </c>
      <c r="CD210" s="581">
        <f t="shared" si="310"/>
        <v>-50</v>
      </c>
      <c r="CE210">
        <f t="shared" si="311"/>
        <v>-50</v>
      </c>
    </row>
    <row r="211" spans="5:83" x14ac:dyDescent="0.2">
      <c r="E211" s="176"/>
      <c r="F211" s="223"/>
      <c r="G211" s="223"/>
      <c r="H211" s="223"/>
      <c r="I211" s="223"/>
      <c r="J211" s="559"/>
      <c r="K211" s="454"/>
      <c r="L211" s="454"/>
      <c r="M211" s="454"/>
      <c r="N211" s="223"/>
      <c r="O211" s="178"/>
      <c r="P211" s="178"/>
      <c r="Q211" s="223"/>
      <c r="R211" s="223"/>
      <c r="S211" s="223"/>
      <c r="T211" s="223"/>
      <c r="U211" s="223"/>
      <c r="V211" s="223"/>
      <c r="W211" s="203"/>
      <c r="X211" s="454"/>
      <c r="Z211" s="223"/>
      <c r="AA211" s="179"/>
      <c r="AB211" s="179"/>
      <c r="AC211" s="179"/>
      <c r="AD211" s="179"/>
      <c r="AE211" s="563"/>
      <c r="AF211" s="546"/>
      <c r="AH211" s="179"/>
      <c r="AI211" s="179"/>
      <c r="AJ211" s="179"/>
      <c r="AL211" s="563"/>
      <c r="AM211" s="472"/>
      <c r="AR211" s="6"/>
      <c r="AS211" s="6"/>
      <c r="AT211" s="6"/>
      <c r="AU211" s="179"/>
      <c r="CD211" s="581"/>
      <c r="CE211" s="557">
        <f>MAX(CE110:CE210)</f>
        <v>6.2539089850622345</v>
      </c>
    </row>
    <row r="212" spans="5:83" x14ac:dyDescent="0.2">
      <c r="G212" s="223"/>
      <c r="H212" s="223"/>
      <c r="I212" s="223"/>
      <c r="J212" s="559"/>
      <c r="K212" s="454"/>
      <c r="L212" s="454"/>
      <c r="M212" s="454"/>
      <c r="N212" s="223"/>
      <c r="O212" s="178"/>
      <c r="P212" s="178"/>
      <c r="Q212" s="223"/>
      <c r="R212" s="223"/>
      <c r="S212" s="223"/>
      <c r="T212" s="223"/>
      <c r="U212" s="223"/>
      <c r="V212" s="223"/>
      <c r="W212" s="203"/>
      <c r="X212" s="454"/>
      <c r="Z212" s="223"/>
      <c r="AA212" s="179"/>
      <c r="AB212" s="179"/>
      <c r="AC212" s="179"/>
      <c r="AD212" s="179"/>
      <c r="AE212" s="563"/>
      <c r="AF212" s="546"/>
      <c r="AH212" s="179"/>
      <c r="AI212" s="179"/>
      <c r="AJ212" s="179"/>
      <c r="AL212" s="563"/>
      <c r="AM212" s="472"/>
      <c r="AR212" s="6"/>
      <c r="AS212" s="6"/>
      <c r="AT212" s="6"/>
      <c r="AU212" s="179"/>
      <c r="CD212" s="581"/>
    </row>
    <row r="213" spans="5:83" x14ac:dyDescent="0.2">
      <c r="G213" s="223"/>
      <c r="H213" s="223"/>
      <c r="I213" s="223"/>
      <c r="J213" s="559"/>
      <c r="K213" s="454"/>
      <c r="L213" s="454"/>
      <c r="M213" s="454"/>
      <c r="N213" s="223"/>
      <c r="O213" s="178"/>
      <c r="P213" s="178"/>
      <c r="Q213" s="223"/>
      <c r="R213" s="223"/>
      <c r="S213" s="223"/>
      <c r="T213" s="223"/>
      <c r="U213" s="223"/>
      <c r="V213" s="223"/>
      <c r="W213" s="203"/>
      <c r="X213" s="454"/>
      <c r="Z213" s="223"/>
      <c r="AA213" s="179"/>
      <c r="AB213" s="179"/>
      <c r="AC213" s="179"/>
      <c r="AD213" s="179"/>
      <c r="AE213" s="563"/>
      <c r="AF213" s="546"/>
      <c r="AH213" s="179"/>
      <c r="AI213" s="179"/>
      <c r="AJ213" s="179"/>
      <c r="AL213" s="563"/>
      <c r="AM213" s="472"/>
      <c r="AR213" s="6"/>
      <c r="AS213" s="6"/>
      <c r="AT213" s="6"/>
      <c r="AU213" s="179"/>
      <c r="CD213" s="581"/>
    </row>
    <row r="214" spans="5:83" x14ac:dyDescent="0.2">
      <c r="E214" s="456" t="s">
        <v>446</v>
      </c>
      <c r="G214" s="223"/>
      <c r="H214" s="223"/>
      <c r="I214" s="223"/>
      <c r="J214" s="559"/>
      <c r="K214" s="454"/>
      <c r="L214" s="454"/>
      <c r="M214" s="454"/>
      <c r="N214" s="223"/>
      <c r="O214" s="178"/>
      <c r="P214" s="178"/>
      <c r="Q214" s="223"/>
      <c r="R214" s="223"/>
      <c r="S214" s="223"/>
      <c r="T214" s="223"/>
      <c r="U214" s="223"/>
      <c r="V214" s="223"/>
      <c r="W214" s="203"/>
      <c r="X214" s="454"/>
      <c r="Z214" s="223"/>
      <c r="AA214" s="179"/>
      <c r="AB214" s="179"/>
      <c r="AC214" s="179"/>
      <c r="AD214" s="179"/>
      <c r="AE214" s="563"/>
      <c r="AF214" s="546"/>
      <c r="AH214" s="179"/>
      <c r="AI214" s="179"/>
      <c r="AJ214" s="179"/>
      <c r="AL214" s="563"/>
      <c r="AM214" s="472"/>
      <c r="AR214" s="6"/>
      <c r="AS214" s="6"/>
      <c r="AT214" s="6"/>
      <c r="AU214" s="179"/>
      <c r="CD214" s="581"/>
    </row>
    <row r="215" spans="5:83" ht="45" customHeight="1" thickBot="1" x14ac:dyDescent="0.25">
      <c r="E215" s="247" t="s">
        <v>25</v>
      </c>
      <c r="F215" s="625" t="s">
        <v>599</v>
      </c>
      <c r="G215" s="455" t="s">
        <v>598</v>
      </c>
      <c r="H215" s="626" t="s">
        <v>600</v>
      </c>
      <c r="I215" s="627" t="s">
        <v>601</v>
      </c>
      <c r="J215" s="248" t="s">
        <v>423</v>
      </c>
      <c r="K215" s="249" t="s">
        <v>429</v>
      </c>
      <c r="L215" s="545" t="s">
        <v>424</v>
      </c>
      <c r="M215" s="545"/>
      <c r="N215" s="250" t="s">
        <v>48</v>
      </c>
      <c r="O215" s="629" t="s">
        <v>609</v>
      </c>
      <c r="P215" s="178"/>
      <c r="Q215" s="545" t="s">
        <v>414</v>
      </c>
      <c r="R215" s="629" t="s">
        <v>603</v>
      </c>
      <c r="S215" s="545" t="s">
        <v>444</v>
      </c>
      <c r="T215" s="629" t="s">
        <v>425</v>
      </c>
      <c r="U215" s="545" t="s">
        <v>477</v>
      </c>
      <c r="V215" s="545" t="s">
        <v>476</v>
      </c>
      <c r="W215" s="565" t="s">
        <v>431</v>
      </c>
      <c r="X215" s="560" t="s">
        <v>436</v>
      </c>
      <c r="Z215" s="251" t="s">
        <v>428</v>
      </c>
      <c r="AA215" s="251" t="s">
        <v>475</v>
      </c>
      <c r="AB215" s="179"/>
      <c r="AC215" s="562"/>
      <c r="AD215" s="251" t="s">
        <v>474</v>
      </c>
      <c r="AE215" s="563"/>
      <c r="AF215" s="546"/>
      <c r="AG215" s="562"/>
      <c r="AH215" s="179"/>
      <c r="AI215" s="566" t="s">
        <v>441</v>
      </c>
      <c r="AJ215" s="566" t="s">
        <v>442</v>
      </c>
      <c r="AL215" s="561" t="s">
        <v>276</v>
      </c>
      <c r="AM215" s="561" t="s">
        <v>443</v>
      </c>
      <c r="AO215" s="251" t="s">
        <v>276</v>
      </c>
      <c r="AP215" s="251" t="s">
        <v>443</v>
      </c>
      <c r="AQ215" s="567"/>
      <c r="AR215" s="251" t="s">
        <v>478</v>
      </c>
      <c r="AS215" s="251" t="s">
        <v>472</v>
      </c>
      <c r="AT215" s="251" t="s">
        <v>473</v>
      </c>
      <c r="AU215" s="251" t="s">
        <v>48</v>
      </c>
      <c r="AV215" s="562"/>
      <c r="AW215" s="251" t="s">
        <v>493</v>
      </c>
      <c r="AX215" s="251"/>
      <c r="AY215" s="251" t="s">
        <v>494</v>
      </c>
      <c r="AZ215" s="562"/>
      <c r="BA215" s="576" t="s">
        <v>467</v>
      </c>
      <c r="BB215" s="251" t="s">
        <v>468</v>
      </c>
      <c r="BC215" s="251"/>
      <c r="BD215" s="562"/>
      <c r="BE215" s="576" t="s">
        <v>485</v>
      </c>
      <c r="BF215" s="251" t="s">
        <v>486</v>
      </c>
      <c r="BG215" s="251" t="s">
        <v>484</v>
      </c>
      <c r="BH215" s="251" t="s">
        <v>480</v>
      </c>
      <c r="BI215" s="251" t="s">
        <v>489</v>
      </c>
      <c r="BJ215" s="251"/>
      <c r="BK215" s="251" t="s">
        <v>504</v>
      </c>
      <c r="BL215" s="576" t="s">
        <v>487</v>
      </c>
      <c r="BM215" s="251"/>
      <c r="BN215" s="251" t="s">
        <v>488</v>
      </c>
      <c r="BO215" s="251" t="s">
        <v>496</v>
      </c>
      <c r="BP215" s="251" t="s">
        <v>500</v>
      </c>
      <c r="BQ215" s="576" t="s">
        <v>469</v>
      </c>
      <c r="BR215" s="251" t="s">
        <v>470</v>
      </c>
      <c r="BS215" s="251"/>
      <c r="BT215" s="251" t="s">
        <v>479</v>
      </c>
      <c r="BU215" s="251"/>
      <c r="BV215" s="251" t="s">
        <v>497</v>
      </c>
      <c r="BW215" s="251" t="s">
        <v>499</v>
      </c>
      <c r="BX215" s="576" t="s">
        <v>495</v>
      </c>
      <c r="BY215" s="251" t="s">
        <v>224</v>
      </c>
      <c r="BZ215" s="251" t="s">
        <v>47</v>
      </c>
      <c r="CA215" s="251" t="s">
        <v>498</v>
      </c>
      <c r="CB215" s="251"/>
      <c r="CD215" s="581"/>
    </row>
    <row r="216" spans="5:83" x14ac:dyDescent="0.2">
      <c r="E216" s="176">
        <v>0.1</v>
      </c>
      <c r="F216" s="223">
        <v>1.0000000000000001E-9</v>
      </c>
      <c r="G216" s="223">
        <f t="shared" ref="G216:G247" si="329">IF(PLOT_TYPE=1, E216/100*Iout2, min_I*EXP(Q216*rr/100))</f>
        <v>2.0000000000000001E-4</v>
      </c>
      <c r="H216" s="223">
        <f t="shared" ref="H216:H247" si="330">F216*Vout</f>
        <v>2.4000000000000003E-8</v>
      </c>
      <c r="I216" s="223">
        <f t="shared" ref="I216:I247" si="331">Vout2*G216</f>
        <v>2.4000000000000002E-3</v>
      </c>
      <c r="J216" s="559">
        <f t="shared" ref="J216:J279" si="332">VIN_max</f>
        <v>15</v>
      </c>
      <c r="K216" s="454">
        <f t="shared" ref="K216:K279" si="333">(S216+Vfwd1)*Nps</f>
        <v>24.25</v>
      </c>
      <c r="L216" s="454">
        <f t="shared" ref="L216:L279" si="334">(Vout+Vfwd1)*Nps+J216</f>
        <v>39.25</v>
      </c>
      <c r="M216" s="454"/>
      <c r="N216" s="223">
        <f t="shared" ref="N216:N279" si="335">(Vout+Vfwd1)*Nps/((Vout+Vfwd1)*Nps+J216)</f>
        <v>0.61783439490445857</v>
      </c>
      <c r="O216" s="178">
        <f t="shared" ref="O216:O247" si="336">N216*J216*Isw_max*0.5*Efficiency*Pout/(Pout+Pout2)</f>
        <v>3.3434770245677887</v>
      </c>
      <c r="P216" s="178">
        <f t="shared" ref="P216:P247" si="337">N216*J216*Isw_max*0.5*Efficiency*(Pout2/Pout_total)</f>
        <v>5.8027287203242626</v>
      </c>
      <c r="Q216" s="223">
        <f t="shared" ref="Q216:Q279" si="338">O216/Vout</f>
        <v>0.13931154269032453</v>
      </c>
      <c r="R216" s="223">
        <f t="shared" ref="R216:R247" si="339">O216/Vout2</f>
        <v>0.27862308538064906</v>
      </c>
      <c r="S216" s="223">
        <f t="shared" ref="S216:S247" si="340">MIN(Vout,O216/F216)</f>
        <v>24</v>
      </c>
      <c r="T216" s="223">
        <f t="shared" ref="T216:T247" si="341">MIN(2*(Vout*F216+Vout2*G216)/(Efficiency*J216*N216), Isw_max)</f>
        <v>5.4520349864351609E-4</v>
      </c>
      <c r="U216" s="223">
        <f t="shared" ref="U216:U279" si="342">L*T216/J216*1000000</f>
        <v>1.7083042957496838E-3</v>
      </c>
      <c r="V216" s="223">
        <f t="shared" ref="V216:V279" si="343">L*T216/K216*1000000</f>
        <v>1.0566830695358867E-3</v>
      </c>
      <c r="W216" s="203">
        <f t="shared" ref="W216:W279" si="344">IF(1/((350000*L)*(1/J216+1/K216))&gt;Isw_min, 350, 0.001/((Isw_min*L)*(1/J216+1/K216)))</f>
        <v>350</v>
      </c>
      <c r="X216" s="454">
        <f t="shared" ref="X216:X279" si="345">MIN(1/(U216+V216)*1000, 350)</f>
        <v>350</v>
      </c>
      <c r="Z216" s="223">
        <f t="shared" ref="Z216:Z279" si="346">1/((W216*1000*L)*(1/J216+1/K216))</f>
        <v>0.56337482818035733</v>
      </c>
      <c r="AA216" s="179">
        <f t="shared" ref="AA216:AA279" si="347">L*Z216/K216*1000000</f>
        <v>1.0919017288444037</v>
      </c>
      <c r="AB216" s="179">
        <f t="shared" ref="AB216:AB247" si="348">0.5*AA216*Z216*Nps*W216/1000*(Pout/(Pout+Pout2))</f>
        <v>5.6388745313775496E-2</v>
      </c>
      <c r="AC216" s="179"/>
      <c r="AD216" s="179">
        <f t="shared" ref="AD216:AD279" si="349">L*Isw_min/K216*1000000</f>
        <v>0.56206185567010303</v>
      </c>
      <c r="AE216" s="563">
        <f t="shared" ref="AE216:AE247" si="350">MAX(10, F216/(0.5*AD216/1000000*Isw_min*Nps)/1000*Pout_total/Pout)</f>
        <v>10</v>
      </c>
      <c r="AF216" s="546">
        <f t="shared" ref="AF216:AF247" si="351">0.5*AD216/1000000*Isw_min*Nps*W216*1000*(Pout/Pout_total)</f>
        <v>2.8524639175257726E-2</v>
      </c>
      <c r="AH216" s="179">
        <f t="shared" ref="AH216:AH247" si="352">SQRT((H216+I216)/(0.5*L*Fsw_DCM))</f>
        <v>1.708204411079188E-2</v>
      </c>
      <c r="AI216" s="179">
        <f t="shared" ref="AI216:AI247" si="353">MAX(IF(F216&gt;AB216,T216,AH216),Isw_min)</f>
        <v>0.28999999999999998</v>
      </c>
      <c r="AJ216" s="179">
        <f t="shared" ref="AJ216:AJ247" si="354">IF(F216&gt;AF216, (AI216-Isw_min)/1.08*0.8+1.2, AE216*0.2/350+1)</f>
        <v>1.0057142857142858</v>
      </c>
      <c r="AL216" s="563">
        <f t="shared" ref="AL216:AL247" si="355">F216*1000</f>
        <v>1.0000000000000002E-6</v>
      </c>
      <c r="AM216" s="472">
        <f t="shared" ref="AM216:AM247" si="356">IF(F216&gt;AF216, X216, AE216)</f>
        <v>10</v>
      </c>
      <c r="AO216">
        <f t="shared" ref="AO216:AO279" si="357">IF(H216&gt;O216, "",AL216)</f>
        <v>1.0000000000000002E-6</v>
      </c>
      <c r="AP216">
        <f t="shared" ref="AP216:AP279" si="358">IF(H216&gt;O216, "",AM216)</f>
        <v>10</v>
      </c>
      <c r="AR216" s="6">
        <f t="shared" si="322"/>
        <v>100</v>
      </c>
      <c r="AS216" s="6">
        <f t="shared" si="313"/>
        <v>0.90866666666666662</v>
      </c>
      <c r="AT216" s="6">
        <f t="shared" si="314"/>
        <v>99.091333333333338</v>
      </c>
      <c r="AU216" s="179">
        <f t="shared" si="315"/>
        <v>9.0866666666666665E-3</v>
      </c>
      <c r="CD216" s="581">
        <f t="shared" ref="CD216:CD247" si="359">IF(ABS(F216-Ioutmax_Vinmax)&lt;Iout/200, AM216, -50)</f>
        <v>-50</v>
      </c>
    </row>
    <row r="217" spans="5:83" x14ac:dyDescent="0.2">
      <c r="E217" s="176">
        <v>1</v>
      </c>
      <c r="F217" s="223">
        <f t="shared" ref="F217:F248" si="360">IF(PLOT_TYPE=1, E217/100*Iout_max, min_I*EXP(O217*rr/100))</f>
        <v>1.1000000000000001E-3</v>
      </c>
      <c r="G217" s="223">
        <f t="shared" si="329"/>
        <v>2E-3</v>
      </c>
      <c r="H217" s="223">
        <f t="shared" si="330"/>
        <v>2.64E-2</v>
      </c>
      <c r="I217" s="223">
        <f t="shared" si="331"/>
        <v>2.4E-2</v>
      </c>
      <c r="J217" s="559">
        <f t="shared" si="332"/>
        <v>15</v>
      </c>
      <c r="K217" s="454">
        <f t="shared" si="333"/>
        <v>24.25</v>
      </c>
      <c r="L217" s="454">
        <f t="shared" si="334"/>
        <v>39.25</v>
      </c>
      <c r="M217" s="454"/>
      <c r="N217" s="223">
        <f t="shared" si="335"/>
        <v>0.61783439490445857</v>
      </c>
      <c r="O217" s="178">
        <f t="shared" si="336"/>
        <v>3.3434770245677887</v>
      </c>
      <c r="P217" s="178">
        <f t="shared" si="337"/>
        <v>5.8027287203242626</v>
      </c>
      <c r="Q217" s="223">
        <f t="shared" si="338"/>
        <v>0.13931154269032453</v>
      </c>
      <c r="R217" s="223">
        <f t="shared" si="339"/>
        <v>0.27862308538064906</v>
      </c>
      <c r="S217" s="223">
        <f t="shared" si="340"/>
        <v>24</v>
      </c>
      <c r="T217" s="223">
        <f t="shared" si="341"/>
        <v>1.1449158979924039E-2</v>
      </c>
      <c r="U217" s="223">
        <f t="shared" si="342"/>
        <v>3.5874031470428655E-2</v>
      </c>
      <c r="V217" s="223">
        <f t="shared" si="343"/>
        <v>2.2190122559028035E-2</v>
      </c>
      <c r="W217" s="203">
        <f t="shared" si="344"/>
        <v>350</v>
      </c>
      <c r="X217" s="454">
        <f t="shared" si="345"/>
        <v>350</v>
      </c>
      <c r="Z217" s="223">
        <f t="shared" si="346"/>
        <v>0.56337482818035733</v>
      </c>
      <c r="AA217" s="179">
        <f t="shared" si="347"/>
        <v>1.0919017288444037</v>
      </c>
      <c r="AB217" s="179">
        <f t="shared" si="348"/>
        <v>5.6388745313775496E-2</v>
      </c>
      <c r="AC217" s="179"/>
      <c r="AD217" s="179">
        <f t="shared" si="349"/>
        <v>0.56206185567010303</v>
      </c>
      <c r="AE217" s="563">
        <f t="shared" si="350"/>
        <v>13.497103245882563</v>
      </c>
      <c r="AF217" s="546">
        <f t="shared" si="351"/>
        <v>2.8524639175257726E-2</v>
      </c>
      <c r="AH217" s="179">
        <f t="shared" si="352"/>
        <v>7.8279368766413074E-2</v>
      </c>
      <c r="AI217" s="179">
        <f t="shared" si="353"/>
        <v>0.28999999999999998</v>
      </c>
      <c r="AJ217" s="179">
        <f t="shared" si="354"/>
        <v>1.0077126304262185</v>
      </c>
      <c r="AL217" s="563">
        <f t="shared" si="355"/>
        <v>1.1000000000000001</v>
      </c>
      <c r="AM217" s="472">
        <f t="shared" si="356"/>
        <v>13.497103245882563</v>
      </c>
      <c r="AO217">
        <f t="shared" si="357"/>
        <v>1.1000000000000001</v>
      </c>
      <c r="AP217">
        <f t="shared" si="358"/>
        <v>13.497103245882563</v>
      </c>
      <c r="AR217" s="6">
        <f t="shared" si="322"/>
        <v>74.089971883786319</v>
      </c>
      <c r="AS217" s="6">
        <f t="shared" si="313"/>
        <v>0.90866666666666662</v>
      </c>
      <c r="AT217" s="6">
        <f t="shared" si="314"/>
        <v>73.181305217119657</v>
      </c>
      <c r="AU217" s="179">
        <f t="shared" si="315"/>
        <v>1.2264367816091953E-2</v>
      </c>
      <c r="CD217" s="581">
        <f t="shared" si="359"/>
        <v>-50</v>
      </c>
    </row>
    <row r="218" spans="5:83" x14ac:dyDescent="0.2">
      <c r="E218" s="176">
        <v>2</v>
      </c>
      <c r="F218" s="223">
        <f t="shared" si="360"/>
        <v>2.2000000000000001E-3</v>
      </c>
      <c r="G218" s="223">
        <f t="shared" si="329"/>
        <v>4.0000000000000001E-3</v>
      </c>
      <c r="H218" s="223">
        <f t="shared" si="330"/>
        <v>5.28E-2</v>
      </c>
      <c r="I218" s="223">
        <f t="shared" si="331"/>
        <v>4.8000000000000001E-2</v>
      </c>
      <c r="J218" s="559">
        <f t="shared" si="332"/>
        <v>15</v>
      </c>
      <c r="K218" s="454">
        <f t="shared" si="333"/>
        <v>24.25</v>
      </c>
      <c r="L218" s="454">
        <f t="shared" si="334"/>
        <v>39.25</v>
      </c>
      <c r="M218" s="454"/>
      <c r="N218" s="223">
        <f t="shared" si="335"/>
        <v>0.61783439490445857</v>
      </c>
      <c r="O218" s="178">
        <f t="shared" si="336"/>
        <v>3.3434770245677887</v>
      </c>
      <c r="P218" s="178">
        <f t="shared" si="337"/>
        <v>5.8027287203242626</v>
      </c>
      <c r="Q218" s="223">
        <f t="shared" si="338"/>
        <v>0.13931154269032453</v>
      </c>
      <c r="R218" s="223">
        <f t="shared" si="339"/>
        <v>0.27862308538064906</v>
      </c>
      <c r="S218" s="223">
        <f t="shared" si="340"/>
        <v>24</v>
      </c>
      <c r="T218" s="223">
        <f t="shared" si="341"/>
        <v>2.2898317959848077E-2</v>
      </c>
      <c r="U218" s="223">
        <f t="shared" si="342"/>
        <v>7.174806294085731E-2</v>
      </c>
      <c r="V218" s="223">
        <f t="shared" si="343"/>
        <v>4.4380245118056071E-2</v>
      </c>
      <c r="W218" s="203">
        <f t="shared" si="344"/>
        <v>350</v>
      </c>
      <c r="X218" s="454">
        <f t="shared" si="345"/>
        <v>350</v>
      </c>
      <c r="Z218" s="223">
        <f t="shared" si="346"/>
        <v>0.56337482818035733</v>
      </c>
      <c r="AA218" s="179">
        <f t="shared" si="347"/>
        <v>1.0919017288444037</v>
      </c>
      <c r="AB218" s="179">
        <f t="shared" si="348"/>
        <v>5.6388745313775496E-2</v>
      </c>
      <c r="AC218" s="179"/>
      <c r="AD218" s="179">
        <f t="shared" si="349"/>
        <v>0.56206185567010303</v>
      </c>
      <c r="AE218" s="563">
        <f t="shared" si="350"/>
        <v>26.994206491765127</v>
      </c>
      <c r="AF218" s="546">
        <f t="shared" si="351"/>
        <v>2.8524639175257726E-2</v>
      </c>
      <c r="AH218" s="179">
        <f t="shared" si="352"/>
        <v>0.11070374496346622</v>
      </c>
      <c r="AI218" s="179">
        <f t="shared" si="353"/>
        <v>0.28999999999999998</v>
      </c>
      <c r="AJ218" s="179">
        <f t="shared" si="354"/>
        <v>1.0154252608524372</v>
      </c>
      <c r="AL218" s="563">
        <f t="shared" si="355"/>
        <v>2.2000000000000002</v>
      </c>
      <c r="AM218" s="472">
        <f t="shared" si="356"/>
        <v>26.994206491765127</v>
      </c>
      <c r="AO218">
        <f t="shared" si="357"/>
        <v>2.2000000000000002</v>
      </c>
      <c r="AP218">
        <f t="shared" si="358"/>
        <v>26.994206491765127</v>
      </c>
      <c r="AR218" s="6">
        <f t="shared" si="322"/>
        <v>37.04498594189316</v>
      </c>
      <c r="AS218" s="6">
        <f t="shared" si="313"/>
        <v>0.90866666666666662</v>
      </c>
      <c r="AT218" s="6">
        <f t="shared" si="314"/>
        <v>36.136319275226491</v>
      </c>
      <c r="AU218" s="179">
        <f t="shared" si="315"/>
        <v>2.4528735632183905E-2</v>
      </c>
      <c r="CD218" s="581">
        <f t="shared" si="359"/>
        <v>-50</v>
      </c>
    </row>
    <row r="219" spans="5:83" x14ac:dyDescent="0.2">
      <c r="E219" s="176">
        <v>3</v>
      </c>
      <c r="F219" s="223">
        <f t="shared" si="360"/>
        <v>3.3E-3</v>
      </c>
      <c r="G219" s="223">
        <f t="shared" si="329"/>
        <v>6.0000000000000001E-3</v>
      </c>
      <c r="H219" s="223">
        <f t="shared" si="330"/>
        <v>7.9199999999999993E-2</v>
      </c>
      <c r="I219" s="223">
        <f t="shared" si="331"/>
        <v>7.2000000000000008E-2</v>
      </c>
      <c r="J219" s="559">
        <f t="shared" si="332"/>
        <v>15</v>
      </c>
      <c r="K219" s="454">
        <f t="shared" si="333"/>
        <v>24.25</v>
      </c>
      <c r="L219" s="454">
        <f t="shared" si="334"/>
        <v>39.25</v>
      </c>
      <c r="M219" s="454"/>
      <c r="N219" s="223">
        <f t="shared" si="335"/>
        <v>0.61783439490445857</v>
      </c>
      <c r="O219" s="178">
        <f t="shared" si="336"/>
        <v>3.3434770245677887</v>
      </c>
      <c r="P219" s="178">
        <f t="shared" si="337"/>
        <v>5.8027287203242626</v>
      </c>
      <c r="Q219" s="223">
        <f t="shared" si="338"/>
        <v>0.13931154269032453</v>
      </c>
      <c r="R219" s="223">
        <f t="shared" si="339"/>
        <v>0.27862308538064906</v>
      </c>
      <c r="S219" s="223">
        <f t="shared" si="340"/>
        <v>24</v>
      </c>
      <c r="T219" s="223">
        <f t="shared" si="341"/>
        <v>3.4347476939772116E-2</v>
      </c>
      <c r="U219" s="223">
        <f t="shared" si="342"/>
        <v>0.10762209441128597</v>
      </c>
      <c r="V219" s="223">
        <f t="shared" si="343"/>
        <v>6.6570367677084102E-2</v>
      </c>
      <c r="W219" s="203">
        <f t="shared" si="344"/>
        <v>350</v>
      </c>
      <c r="X219" s="454">
        <f t="shared" si="345"/>
        <v>350</v>
      </c>
      <c r="Z219" s="223">
        <f t="shared" si="346"/>
        <v>0.56337482818035733</v>
      </c>
      <c r="AA219" s="179">
        <f t="shared" si="347"/>
        <v>1.0919017288444037</v>
      </c>
      <c r="AB219" s="179">
        <f t="shared" si="348"/>
        <v>5.6388745313775496E-2</v>
      </c>
      <c r="AC219" s="179"/>
      <c r="AD219" s="179">
        <f t="shared" si="349"/>
        <v>0.56206185567010303</v>
      </c>
      <c r="AE219" s="563">
        <f t="shared" si="350"/>
        <v>40.491309737647697</v>
      </c>
      <c r="AF219" s="546">
        <f t="shared" si="351"/>
        <v>2.8524639175257726E-2</v>
      </c>
      <c r="AH219" s="179">
        <f t="shared" si="352"/>
        <v>0.13558384388784769</v>
      </c>
      <c r="AI219" s="179">
        <f t="shared" si="353"/>
        <v>0.28999999999999998</v>
      </c>
      <c r="AJ219" s="179">
        <f t="shared" si="354"/>
        <v>1.0231378912786557</v>
      </c>
      <c r="AL219" s="563">
        <f t="shared" si="355"/>
        <v>3.3</v>
      </c>
      <c r="AM219" s="472">
        <f t="shared" si="356"/>
        <v>40.491309737647697</v>
      </c>
      <c r="AO219">
        <f t="shared" si="357"/>
        <v>3.3</v>
      </c>
      <c r="AP219">
        <f t="shared" si="358"/>
        <v>40.491309737647697</v>
      </c>
      <c r="AR219" s="6">
        <f t="shared" si="322"/>
        <v>24.696657294595433</v>
      </c>
      <c r="AS219" s="6">
        <f t="shared" si="313"/>
        <v>0.90866666666666662</v>
      </c>
      <c r="AT219" s="6">
        <f t="shared" si="314"/>
        <v>23.787990627928767</v>
      </c>
      <c r="AU219" s="179">
        <f t="shared" si="315"/>
        <v>3.6793103448275868E-2</v>
      </c>
      <c r="CD219" s="581">
        <f t="shared" si="359"/>
        <v>-50</v>
      </c>
    </row>
    <row r="220" spans="5:83" x14ac:dyDescent="0.2">
      <c r="E220" s="176">
        <v>4</v>
      </c>
      <c r="F220" s="223">
        <f t="shared" si="360"/>
        <v>4.4000000000000003E-3</v>
      </c>
      <c r="G220" s="223">
        <f t="shared" si="329"/>
        <v>8.0000000000000002E-3</v>
      </c>
      <c r="H220" s="223">
        <f t="shared" si="330"/>
        <v>0.1056</v>
      </c>
      <c r="I220" s="223">
        <f t="shared" si="331"/>
        <v>9.6000000000000002E-2</v>
      </c>
      <c r="J220" s="559">
        <f t="shared" si="332"/>
        <v>15</v>
      </c>
      <c r="K220" s="454">
        <f t="shared" si="333"/>
        <v>24.25</v>
      </c>
      <c r="L220" s="454">
        <f t="shared" si="334"/>
        <v>39.25</v>
      </c>
      <c r="M220" s="454"/>
      <c r="N220" s="223">
        <f t="shared" si="335"/>
        <v>0.61783439490445857</v>
      </c>
      <c r="O220" s="178">
        <f t="shared" si="336"/>
        <v>3.3434770245677887</v>
      </c>
      <c r="P220" s="178">
        <f t="shared" si="337"/>
        <v>5.8027287203242626</v>
      </c>
      <c r="Q220" s="223">
        <f t="shared" si="338"/>
        <v>0.13931154269032453</v>
      </c>
      <c r="R220" s="223">
        <f t="shared" si="339"/>
        <v>0.27862308538064906</v>
      </c>
      <c r="S220" s="223">
        <f t="shared" si="340"/>
        <v>24</v>
      </c>
      <c r="T220" s="223">
        <f t="shared" si="341"/>
        <v>4.5796635919696155E-2</v>
      </c>
      <c r="U220" s="223">
        <f t="shared" si="342"/>
        <v>0.14349612588171462</v>
      </c>
      <c r="V220" s="223">
        <f t="shared" si="343"/>
        <v>8.8760490236112141E-2</v>
      </c>
      <c r="W220" s="203">
        <f t="shared" si="344"/>
        <v>350</v>
      </c>
      <c r="X220" s="454">
        <f t="shared" si="345"/>
        <v>350</v>
      </c>
      <c r="Z220" s="223">
        <f t="shared" si="346"/>
        <v>0.56337482818035733</v>
      </c>
      <c r="AA220" s="179">
        <f t="shared" si="347"/>
        <v>1.0919017288444037</v>
      </c>
      <c r="AB220" s="179">
        <f t="shared" si="348"/>
        <v>5.6388745313775496E-2</v>
      </c>
      <c r="AC220" s="179"/>
      <c r="AD220" s="179">
        <f t="shared" si="349"/>
        <v>0.56206185567010303</v>
      </c>
      <c r="AE220" s="563">
        <f t="shared" si="350"/>
        <v>53.988412983530253</v>
      </c>
      <c r="AF220" s="546">
        <f t="shared" si="351"/>
        <v>2.8524639175257726E-2</v>
      </c>
      <c r="AH220" s="179">
        <f t="shared" si="352"/>
        <v>0.15655873753282615</v>
      </c>
      <c r="AI220" s="179">
        <f t="shared" si="353"/>
        <v>0.28999999999999998</v>
      </c>
      <c r="AJ220" s="179">
        <f t="shared" si="354"/>
        <v>1.0308505217048745</v>
      </c>
      <c r="AL220" s="563">
        <f t="shared" si="355"/>
        <v>4.4000000000000004</v>
      </c>
      <c r="AM220" s="472">
        <f t="shared" si="356"/>
        <v>53.988412983530253</v>
      </c>
      <c r="AO220">
        <f t="shared" si="357"/>
        <v>4.4000000000000004</v>
      </c>
      <c r="AP220">
        <f t="shared" si="358"/>
        <v>53.988412983530253</v>
      </c>
      <c r="AR220" s="6">
        <f t="shared" si="322"/>
        <v>18.52249297094658</v>
      </c>
      <c r="AS220" s="6">
        <f t="shared" si="313"/>
        <v>0.90866666666666662</v>
      </c>
      <c r="AT220" s="6">
        <f t="shared" si="314"/>
        <v>17.613826304279915</v>
      </c>
      <c r="AU220" s="179">
        <f t="shared" si="315"/>
        <v>4.9057471264367811E-2</v>
      </c>
      <c r="CD220" s="581">
        <f t="shared" si="359"/>
        <v>-50</v>
      </c>
    </row>
    <row r="221" spans="5:83" x14ac:dyDescent="0.2">
      <c r="E221" s="176">
        <v>5</v>
      </c>
      <c r="F221" s="223">
        <f t="shared" si="360"/>
        <v>5.5000000000000005E-3</v>
      </c>
      <c r="G221" s="223">
        <f t="shared" si="329"/>
        <v>1.0000000000000002E-2</v>
      </c>
      <c r="H221" s="223">
        <f t="shared" si="330"/>
        <v>0.13200000000000001</v>
      </c>
      <c r="I221" s="223">
        <f t="shared" si="331"/>
        <v>0.12000000000000002</v>
      </c>
      <c r="J221" s="559">
        <f t="shared" si="332"/>
        <v>15</v>
      </c>
      <c r="K221" s="454">
        <f t="shared" si="333"/>
        <v>24.25</v>
      </c>
      <c r="L221" s="454">
        <f t="shared" si="334"/>
        <v>39.25</v>
      </c>
      <c r="M221" s="454"/>
      <c r="N221" s="223">
        <f t="shared" si="335"/>
        <v>0.61783439490445857</v>
      </c>
      <c r="O221" s="178">
        <f t="shared" si="336"/>
        <v>3.3434770245677887</v>
      </c>
      <c r="P221" s="178">
        <f t="shared" si="337"/>
        <v>5.8027287203242626</v>
      </c>
      <c r="Q221" s="223">
        <f t="shared" si="338"/>
        <v>0.13931154269032453</v>
      </c>
      <c r="R221" s="223">
        <f t="shared" si="339"/>
        <v>0.27862308538064906</v>
      </c>
      <c r="S221" s="223">
        <f t="shared" si="340"/>
        <v>24</v>
      </c>
      <c r="T221" s="223">
        <f t="shared" si="341"/>
        <v>5.7245794899620193E-2</v>
      </c>
      <c r="U221" s="223">
        <f t="shared" si="342"/>
        <v>0.17937015735214326</v>
      </c>
      <c r="V221" s="223">
        <f t="shared" si="343"/>
        <v>0.11095061279514015</v>
      </c>
      <c r="W221" s="203">
        <f t="shared" si="344"/>
        <v>350</v>
      </c>
      <c r="X221" s="454">
        <f t="shared" si="345"/>
        <v>350</v>
      </c>
      <c r="Z221" s="223">
        <f t="shared" si="346"/>
        <v>0.56337482818035733</v>
      </c>
      <c r="AA221" s="179">
        <f t="shared" si="347"/>
        <v>1.0919017288444037</v>
      </c>
      <c r="AB221" s="179">
        <f t="shared" si="348"/>
        <v>5.6388745313775496E-2</v>
      </c>
      <c r="AC221" s="179"/>
      <c r="AD221" s="179">
        <f t="shared" si="349"/>
        <v>0.56206185567010303</v>
      </c>
      <c r="AE221" s="563">
        <f t="shared" si="350"/>
        <v>67.485516229412823</v>
      </c>
      <c r="AF221" s="546">
        <f t="shared" si="351"/>
        <v>2.8524639175257726E-2</v>
      </c>
      <c r="AH221" s="179">
        <f t="shared" si="352"/>
        <v>0.17503798979747348</v>
      </c>
      <c r="AI221" s="179">
        <f t="shared" si="353"/>
        <v>0.28999999999999998</v>
      </c>
      <c r="AJ221" s="179">
        <f t="shared" si="354"/>
        <v>1.038563152131093</v>
      </c>
      <c r="AL221" s="563">
        <f t="shared" si="355"/>
        <v>5.5000000000000009</v>
      </c>
      <c r="AM221" s="472">
        <f t="shared" si="356"/>
        <v>67.485516229412823</v>
      </c>
      <c r="AO221">
        <f t="shared" si="357"/>
        <v>5.5000000000000009</v>
      </c>
      <c r="AP221">
        <f t="shared" si="358"/>
        <v>67.485516229412823</v>
      </c>
      <c r="AR221" s="6">
        <f t="shared" si="322"/>
        <v>14.817994376757261</v>
      </c>
      <c r="AS221" s="6">
        <f t="shared" si="313"/>
        <v>0.90866666666666662</v>
      </c>
      <c r="AT221" s="6">
        <f t="shared" si="314"/>
        <v>13.909327710090594</v>
      </c>
      <c r="AU221" s="179">
        <f t="shared" si="315"/>
        <v>6.1321839080459781E-2</v>
      </c>
      <c r="CD221" s="581">
        <f t="shared" si="359"/>
        <v>-50</v>
      </c>
    </row>
    <row r="222" spans="5:83" x14ac:dyDescent="0.2">
      <c r="E222" s="176">
        <v>6</v>
      </c>
      <c r="F222" s="223">
        <f t="shared" si="360"/>
        <v>6.6E-3</v>
      </c>
      <c r="G222" s="223">
        <f t="shared" si="329"/>
        <v>1.2E-2</v>
      </c>
      <c r="H222" s="223">
        <f t="shared" si="330"/>
        <v>0.15839999999999999</v>
      </c>
      <c r="I222" s="223">
        <f t="shared" si="331"/>
        <v>0.14400000000000002</v>
      </c>
      <c r="J222" s="559">
        <f t="shared" si="332"/>
        <v>15</v>
      </c>
      <c r="K222" s="454">
        <f t="shared" si="333"/>
        <v>24.25</v>
      </c>
      <c r="L222" s="454">
        <f t="shared" si="334"/>
        <v>39.25</v>
      </c>
      <c r="M222" s="454"/>
      <c r="N222" s="223">
        <f t="shared" si="335"/>
        <v>0.61783439490445857</v>
      </c>
      <c r="O222" s="178">
        <f t="shared" si="336"/>
        <v>3.3434770245677887</v>
      </c>
      <c r="P222" s="178">
        <f t="shared" si="337"/>
        <v>5.8027287203242626</v>
      </c>
      <c r="Q222" s="223">
        <f t="shared" si="338"/>
        <v>0.13931154269032453</v>
      </c>
      <c r="R222" s="223">
        <f t="shared" si="339"/>
        <v>0.27862308538064906</v>
      </c>
      <c r="S222" s="223">
        <f t="shared" si="340"/>
        <v>24</v>
      </c>
      <c r="T222" s="223">
        <f t="shared" si="341"/>
        <v>6.8694953879544232E-2</v>
      </c>
      <c r="U222" s="223">
        <f t="shared" si="342"/>
        <v>0.21524418882257193</v>
      </c>
      <c r="V222" s="223">
        <f t="shared" si="343"/>
        <v>0.1331407353541682</v>
      </c>
      <c r="W222" s="203">
        <f t="shared" si="344"/>
        <v>350</v>
      </c>
      <c r="X222" s="454">
        <f t="shared" si="345"/>
        <v>350</v>
      </c>
      <c r="Z222" s="223">
        <f t="shared" si="346"/>
        <v>0.56337482818035733</v>
      </c>
      <c r="AA222" s="179">
        <f t="shared" si="347"/>
        <v>1.0919017288444037</v>
      </c>
      <c r="AB222" s="179">
        <f t="shared" si="348"/>
        <v>5.6388745313775496E-2</v>
      </c>
      <c r="AC222" s="179"/>
      <c r="AD222" s="179">
        <f t="shared" si="349"/>
        <v>0.56206185567010303</v>
      </c>
      <c r="AE222" s="563">
        <f t="shared" si="350"/>
        <v>80.982619475295394</v>
      </c>
      <c r="AF222" s="546">
        <f t="shared" si="351"/>
        <v>2.8524639175257726E-2</v>
      </c>
      <c r="AH222" s="179">
        <f t="shared" si="352"/>
        <v>0.19174451086487068</v>
      </c>
      <c r="AI222" s="179">
        <f t="shared" si="353"/>
        <v>0.28999999999999998</v>
      </c>
      <c r="AJ222" s="179">
        <f t="shared" si="354"/>
        <v>1.0462757825573117</v>
      </c>
      <c r="AL222" s="563">
        <f t="shared" si="355"/>
        <v>6.6</v>
      </c>
      <c r="AM222" s="472">
        <f t="shared" si="356"/>
        <v>80.982619475295394</v>
      </c>
      <c r="AO222">
        <f t="shared" si="357"/>
        <v>6.6</v>
      </c>
      <c r="AP222">
        <f t="shared" si="358"/>
        <v>80.982619475295394</v>
      </c>
      <c r="AR222" s="6">
        <f t="shared" si="322"/>
        <v>12.348328647297716</v>
      </c>
      <c r="AS222" s="6">
        <f t="shared" si="313"/>
        <v>0.90866666666666662</v>
      </c>
      <c r="AT222" s="6">
        <f t="shared" si="314"/>
        <v>11.439661980631049</v>
      </c>
      <c r="AU222" s="179">
        <f t="shared" si="315"/>
        <v>7.3586206896551737E-2</v>
      </c>
      <c r="CD222" s="581">
        <f t="shared" si="359"/>
        <v>-50</v>
      </c>
    </row>
    <row r="223" spans="5:83" x14ac:dyDescent="0.2">
      <c r="E223" s="176">
        <v>7</v>
      </c>
      <c r="F223" s="223">
        <f t="shared" si="360"/>
        <v>7.7000000000000011E-3</v>
      </c>
      <c r="G223" s="223">
        <f t="shared" si="329"/>
        <v>1.4000000000000002E-2</v>
      </c>
      <c r="H223" s="223">
        <f t="shared" si="330"/>
        <v>0.18480000000000002</v>
      </c>
      <c r="I223" s="223">
        <f t="shared" si="331"/>
        <v>0.16800000000000004</v>
      </c>
      <c r="J223" s="559">
        <f t="shared" si="332"/>
        <v>15</v>
      </c>
      <c r="K223" s="454">
        <f t="shared" si="333"/>
        <v>24.25</v>
      </c>
      <c r="L223" s="454">
        <f t="shared" si="334"/>
        <v>39.25</v>
      </c>
      <c r="M223" s="454"/>
      <c r="N223" s="223">
        <f t="shared" si="335"/>
        <v>0.61783439490445857</v>
      </c>
      <c r="O223" s="178">
        <f t="shared" si="336"/>
        <v>3.3434770245677887</v>
      </c>
      <c r="P223" s="178">
        <f t="shared" si="337"/>
        <v>5.8027287203242626</v>
      </c>
      <c r="Q223" s="223">
        <f t="shared" si="338"/>
        <v>0.13931154269032453</v>
      </c>
      <c r="R223" s="223">
        <f t="shared" si="339"/>
        <v>0.27862308538064906</v>
      </c>
      <c r="S223" s="223">
        <f t="shared" si="340"/>
        <v>24</v>
      </c>
      <c r="T223" s="223">
        <f t="shared" si="341"/>
        <v>8.0144112859468278E-2</v>
      </c>
      <c r="U223" s="223">
        <f t="shared" si="342"/>
        <v>0.25111822029300057</v>
      </c>
      <c r="V223" s="223">
        <f t="shared" si="343"/>
        <v>0.15533085791319623</v>
      </c>
      <c r="W223" s="203">
        <f t="shared" si="344"/>
        <v>350</v>
      </c>
      <c r="X223" s="454">
        <f t="shared" si="345"/>
        <v>350</v>
      </c>
      <c r="Z223" s="223">
        <f t="shared" si="346"/>
        <v>0.56337482818035733</v>
      </c>
      <c r="AA223" s="179">
        <f t="shared" si="347"/>
        <v>1.0919017288444037</v>
      </c>
      <c r="AB223" s="179">
        <f t="shared" si="348"/>
        <v>5.6388745313775496E-2</v>
      </c>
      <c r="AC223" s="179"/>
      <c r="AD223" s="179">
        <f t="shared" si="349"/>
        <v>0.56206185567010303</v>
      </c>
      <c r="AE223" s="563">
        <f t="shared" si="350"/>
        <v>94.479722721177964</v>
      </c>
      <c r="AF223" s="546">
        <f t="shared" si="351"/>
        <v>2.8524639175257726E-2</v>
      </c>
      <c r="AH223" s="179">
        <f t="shared" si="352"/>
        <v>0.20710774254304595</v>
      </c>
      <c r="AI223" s="179">
        <f t="shared" si="353"/>
        <v>0.28999999999999998</v>
      </c>
      <c r="AJ223" s="179">
        <f t="shared" si="354"/>
        <v>1.0539884129835302</v>
      </c>
      <c r="AL223" s="563">
        <f t="shared" si="355"/>
        <v>7.7000000000000011</v>
      </c>
      <c r="AM223" s="472">
        <f t="shared" si="356"/>
        <v>94.479722721177964</v>
      </c>
      <c r="AO223">
        <f t="shared" si="357"/>
        <v>7.7000000000000011</v>
      </c>
      <c r="AP223">
        <f t="shared" si="358"/>
        <v>94.479722721177964</v>
      </c>
      <c r="AR223" s="6">
        <f t="shared" si="322"/>
        <v>10.584281697683755</v>
      </c>
      <c r="AS223" s="6">
        <f t="shared" si="313"/>
        <v>0.90866666666666662</v>
      </c>
      <c r="AT223" s="6">
        <f t="shared" si="314"/>
        <v>9.6756150310170881</v>
      </c>
      <c r="AU223" s="179">
        <f t="shared" si="315"/>
        <v>8.5850574712643707E-2</v>
      </c>
      <c r="CD223" s="581">
        <f t="shared" si="359"/>
        <v>-50</v>
      </c>
    </row>
    <row r="224" spans="5:83" x14ac:dyDescent="0.2">
      <c r="E224" s="176">
        <v>8</v>
      </c>
      <c r="F224" s="223">
        <f t="shared" si="360"/>
        <v>8.8000000000000005E-3</v>
      </c>
      <c r="G224" s="223">
        <f t="shared" si="329"/>
        <v>1.6E-2</v>
      </c>
      <c r="H224" s="223">
        <f t="shared" si="330"/>
        <v>0.2112</v>
      </c>
      <c r="I224" s="223">
        <f t="shared" si="331"/>
        <v>0.192</v>
      </c>
      <c r="J224" s="559">
        <f t="shared" si="332"/>
        <v>15</v>
      </c>
      <c r="K224" s="454">
        <f t="shared" si="333"/>
        <v>24.25</v>
      </c>
      <c r="L224" s="454">
        <f t="shared" si="334"/>
        <v>39.25</v>
      </c>
      <c r="M224" s="454"/>
      <c r="N224" s="223">
        <f t="shared" si="335"/>
        <v>0.61783439490445857</v>
      </c>
      <c r="O224" s="178">
        <f t="shared" si="336"/>
        <v>3.3434770245677887</v>
      </c>
      <c r="P224" s="178">
        <f t="shared" si="337"/>
        <v>5.8027287203242626</v>
      </c>
      <c r="Q224" s="223">
        <f t="shared" si="338"/>
        <v>0.13931154269032453</v>
      </c>
      <c r="R224" s="223">
        <f t="shared" si="339"/>
        <v>0.27862308538064906</v>
      </c>
      <c r="S224" s="223">
        <f t="shared" si="340"/>
        <v>24</v>
      </c>
      <c r="T224" s="223">
        <f t="shared" si="341"/>
        <v>9.159327183939231E-2</v>
      </c>
      <c r="U224" s="223">
        <f t="shared" si="342"/>
        <v>0.28699225176342924</v>
      </c>
      <c r="V224" s="223">
        <f t="shared" si="343"/>
        <v>0.17752098047222428</v>
      </c>
      <c r="W224" s="203">
        <f t="shared" si="344"/>
        <v>350</v>
      </c>
      <c r="X224" s="454">
        <f t="shared" si="345"/>
        <v>350</v>
      </c>
      <c r="Z224" s="223">
        <f t="shared" si="346"/>
        <v>0.56337482818035733</v>
      </c>
      <c r="AA224" s="179">
        <f t="shared" si="347"/>
        <v>1.0919017288444037</v>
      </c>
      <c r="AB224" s="179">
        <f t="shared" si="348"/>
        <v>5.6388745313775496E-2</v>
      </c>
      <c r="AC224" s="179"/>
      <c r="AD224" s="179">
        <f t="shared" si="349"/>
        <v>0.56206185567010303</v>
      </c>
      <c r="AE224" s="563">
        <f t="shared" si="350"/>
        <v>107.97682596706051</v>
      </c>
      <c r="AF224" s="546">
        <f t="shared" si="351"/>
        <v>2.8524639175257726E-2</v>
      </c>
      <c r="AH224" s="179">
        <f t="shared" si="352"/>
        <v>0.22140748992693243</v>
      </c>
      <c r="AI224" s="179">
        <f t="shared" si="353"/>
        <v>0.28999999999999998</v>
      </c>
      <c r="AJ224" s="179">
        <f t="shared" si="354"/>
        <v>1.0617010434097489</v>
      </c>
      <c r="AL224" s="563">
        <f t="shared" si="355"/>
        <v>8.8000000000000007</v>
      </c>
      <c r="AM224" s="472">
        <f t="shared" si="356"/>
        <v>107.97682596706051</v>
      </c>
      <c r="AO224">
        <f t="shared" si="357"/>
        <v>8.8000000000000007</v>
      </c>
      <c r="AP224">
        <f t="shared" si="358"/>
        <v>107.97682596706051</v>
      </c>
      <c r="AR224" s="6">
        <f t="shared" si="322"/>
        <v>9.2612464854732899</v>
      </c>
      <c r="AS224" s="6">
        <f t="shared" si="313"/>
        <v>0.90866666666666662</v>
      </c>
      <c r="AT224" s="6">
        <f t="shared" si="314"/>
        <v>8.3525798188066229</v>
      </c>
      <c r="AU224" s="179">
        <f t="shared" si="315"/>
        <v>9.8114942528735621E-2</v>
      </c>
      <c r="CD224" s="581">
        <f t="shared" si="359"/>
        <v>-50</v>
      </c>
    </row>
    <row r="225" spans="5:82" x14ac:dyDescent="0.2">
      <c r="E225" s="176">
        <v>9</v>
      </c>
      <c r="F225" s="223">
        <f t="shared" si="360"/>
        <v>9.8999999999999991E-3</v>
      </c>
      <c r="G225" s="223">
        <f t="shared" si="329"/>
        <v>1.7999999999999999E-2</v>
      </c>
      <c r="H225" s="223">
        <f t="shared" si="330"/>
        <v>0.23759999999999998</v>
      </c>
      <c r="I225" s="223">
        <f t="shared" si="331"/>
        <v>0.21599999999999997</v>
      </c>
      <c r="J225" s="559">
        <f t="shared" si="332"/>
        <v>15</v>
      </c>
      <c r="K225" s="454">
        <f t="shared" si="333"/>
        <v>24.25</v>
      </c>
      <c r="L225" s="454">
        <f t="shared" si="334"/>
        <v>39.25</v>
      </c>
      <c r="M225" s="454"/>
      <c r="N225" s="223">
        <f t="shared" si="335"/>
        <v>0.61783439490445857</v>
      </c>
      <c r="O225" s="178">
        <f t="shared" si="336"/>
        <v>3.3434770245677887</v>
      </c>
      <c r="P225" s="178">
        <f t="shared" si="337"/>
        <v>5.8027287203242626</v>
      </c>
      <c r="Q225" s="223">
        <f t="shared" si="338"/>
        <v>0.13931154269032453</v>
      </c>
      <c r="R225" s="223">
        <f t="shared" si="339"/>
        <v>0.27862308538064906</v>
      </c>
      <c r="S225" s="223">
        <f t="shared" si="340"/>
        <v>24</v>
      </c>
      <c r="T225" s="223">
        <f t="shared" si="341"/>
        <v>0.10304243081931634</v>
      </c>
      <c r="U225" s="223">
        <f t="shared" si="342"/>
        <v>0.32286628323385785</v>
      </c>
      <c r="V225" s="223">
        <f t="shared" si="343"/>
        <v>0.19971110303125228</v>
      </c>
      <c r="W225" s="203">
        <f t="shared" si="344"/>
        <v>350</v>
      </c>
      <c r="X225" s="454">
        <f t="shared" si="345"/>
        <v>350</v>
      </c>
      <c r="Z225" s="223">
        <f t="shared" si="346"/>
        <v>0.56337482818035733</v>
      </c>
      <c r="AA225" s="179">
        <f t="shared" si="347"/>
        <v>1.0919017288444037</v>
      </c>
      <c r="AB225" s="179">
        <f t="shared" si="348"/>
        <v>5.6388745313775496E-2</v>
      </c>
      <c r="AC225" s="179"/>
      <c r="AD225" s="179">
        <f t="shared" si="349"/>
        <v>0.56206185567010303</v>
      </c>
      <c r="AE225" s="563">
        <f t="shared" si="350"/>
        <v>121.47392921294306</v>
      </c>
      <c r="AF225" s="546">
        <f t="shared" si="351"/>
        <v>2.8524639175257726E-2</v>
      </c>
      <c r="AH225" s="179">
        <f t="shared" si="352"/>
        <v>0.23483810629923918</v>
      </c>
      <c r="AI225" s="179">
        <f t="shared" si="353"/>
        <v>0.28999999999999998</v>
      </c>
      <c r="AJ225" s="179">
        <f t="shared" si="354"/>
        <v>1.0694136738359674</v>
      </c>
      <c r="AL225" s="563">
        <f t="shared" si="355"/>
        <v>9.8999999999999986</v>
      </c>
      <c r="AM225" s="472">
        <f t="shared" si="356"/>
        <v>121.47392921294306</v>
      </c>
      <c r="AO225">
        <f t="shared" si="357"/>
        <v>9.8999999999999986</v>
      </c>
      <c r="AP225">
        <f t="shared" si="358"/>
        <v>121.47392921294306</v>
      </c>
      <c r="AR225" s="6">
        <f t="shared" si="322"/>
        <v>8.2322190981984793</v>
      </c>
      <c r="AS225" s="6">
        <f t="shared" si="313"/>
        <v>0.90866666666666662</v>
      </c>
      <c r="AT225" s="6">
        <f t="shared" si="314"/>
        <v>7.3235524315318123</v>
      </c>
      <c r="AU225" s="179">
        <f t="shared" si="315"/>
        <v>0.11037931034482759</v>
      </c>
      <c r="CD225" s="581">
        <f t="shared" si="359"/>
        <v>-50</v>
      </c>
    </row>
    <row r="226" spans="5:82" x14ac:dyDescent="0.2">
      <c r="E226" s="176">
        <v>10</v>
      </c>
      <c r="F226" s="223">
        <f t="shared" si="360"/>
        <v>1.1000000000000001E-2</v>
      </c>
      <c r="G226" s="223">
        <f t="shared" si="329"/>
        <v>2.0000000000000004E-2</v>
      </c>
      <c r="H226" s="223">
        <f t="shared" si="330"/>
        <v>0.26400000000000001</v>
      </c>
      <c r="I226" s="223">
        <f t="shared" si="331"/>
        <v>0.24000000000000005</v>
      </c>
      <c r="J226" s="559">
        <f t="shared" si="332"/>
        <v>15</v>
      </c>
      <c r="K226" s="454">
        <f t="shared" si="333"/>
        <v>24.25</v>
      </c>
      <c r="L226" s="454">
        <f t="shared" si="334"/>
        <v>39.25</v>
      </c>
      <c r="M226" s="454"/>
      <c r="N226" s="223">
        <f t="shared" si="335"/>
        <v>0.61783439490445857</v>
      </c>
      <c r="O226" s="178">
        <f t="shared" si="336"/>
        <v>3.3434770245677887</v>
      </c>
      <c r="P226" s="178">
        <f t="shared" si="337"/>
        <v>5.8027287203242626</v>
      </c>
      <c r="Q226" s="223">
        <f t="shared" si="338"/>
        <v>0.13931154269032453</v>
      </c>
      <c r="R226" s="223">
        <f t="shared" si="339"/>
        <v>0.27862308538064906</v>
      </c>
      <c r="S226" s="223">
        <f t="shared" si="340"/>
        <v>24</v>
      </c>
      <c r="T226" s="223">
        <f t="shared" si="341"/>
        <v>0.11449158979924039</v>
      </c>
      <c r="U226" s="223">
        <f t="shared" si="342"/>
        <v>0.35874031470428652</v>
      </c>
      <c r="V226" s="223">
        <f t="shared" si="343"/>
        <v>0.2219012255902803</v>
      </c>
      <c r="W226" s="203">
        <f t="shared" si="344"/>
        <v>350</v>
      </c>
      <c r="X226" s="454">
        <f t="shared" si="345"/>
        <v>350</v>
      </c>
      <c r="Z226" s="223">
        <f t="shared" si="346"/>
        <v>0.56337482818035733</v>
      </c>
      <c r="AA226" s="179">
        <f t="shared" si="347"/>
        <v>1.0919017288444037</v>
      </c>
      <c r="AB226" s="179">
        <f t="shared" si="348"/>
        <v>5.6388745313775496E-2</v>
      </c>
      <c r="AC226" s="179"/>
      <c r="AD226" s="179">
        <f t="shared" si="349"/>
        <v>0.56206185567010303</v>
      </c>
      <c r="AE226" s="563">
        <f t="shared" si="350"/>
        <v>134.97103245882565</v>
      </c>
      <c r="AF226" s="546">
        <f t="shared" si="351"/>
        <v>2.8524639175257726E-2</v>
      </c>
      <c r="AH226" s="179">
        <f t="shared" si="352"/>
        <v>0.24754109910211042</v>
      </c>
      <c r="AI226" s="179">
        <f t="shared" si="353"/>
        <v>0.28999999999999998</v>
      </c>
      <c r="AJ226" s="179">
        <f t="shared" si="354"/>
        <v>1.0771263042621861</v>
      </c>
      <c r="AL226" s="563">
        <f t="shared" si="355"/>
        <v>11.000000000000002</v>
      </c>
      <c r="AM226" s="472">
        <f t="shared" si="356"/>
        <v>134.97103245882565</v>
      </c>
      <c r="AO226">
        <f t="shared" si="357"/>
        <v>11.000000000000002</v>
      </c>
      <c r="AP226">
        <f t="shared" si="358"/>
        <v>134.97103245882565</v>
      </c>
      <c r="AR226" s="6">
        <f t="shared" si="322"/>
        <v>7.4089971883786303</v>
      </c>
      <c r="AS226" s="6">
        <f t="shared" si="313"/>
        <v>0.90866666666666662</v>
      </c>
      <c r="AT226" s="6">
        <f t="shared" si="314"/>
        <v>6.5003305217119633</v>
      </c>
      <c r="AU226" s="179">
        <f t="shared" si="315"/>
        <v>0.12264367816091956</v>
      </c>
      <c r="CD226" s="581">
        <f t="shared" si="359"/>
        <v>-50</v>
      </c>
    </row>
    <row r="227" spans="5:82" x14ac:dyDescent="0.2">
      <c r="E227" s="176">
        <v>11</v>
      </c>
      <c r="F227" s="223">
        <f t="shared" si="360"/>
        <v>1.21E-2</v>
      </c>
      <c r="G227" s="223">
        <f t="shared" si="329"/>
        <v>2.2000000000000002E-2</v>
      </c>
      <c r="H227" s="223">
        <f t="shared" si="330"/>
        <v>0.29039999999999999</v>
      </c>
      <c r="I227" s="223">
        <f t="shared" si="331"/>
        <v>0.26400000000000001</v>
      </c>
      <c r="J227" s="559">
        <f t="shared" si="332"/>
        <v>15</v>
      </c>
      <c r="K227" s="454">
        <f t="shared" si="333"/>
        <v>24.25</v>
      </c>
      <c r="L227" s="454">
        <f t="shared" si="334"/>
        <v>39.25</v>
      </c>
      <c r="M227" s="454"/>
      <c r="N227" s="223">
        <f t="shared" si="335"/>
        <v>0.61783439490445857</v>
      </c>
      <c r="O227" s="178">
        <f t="shared" si="336"/>
        <v>3.3434770245677887</v>
      </c>
      <c r="P227" s="178">
        <f t="shared" si="337"/>
        <v>5.8027287203242626</v>
      </c>
      <c r="Q227" s="223">
        <f t="shared" si="338"/>
        <v>0.13931154269032453</v>
      </c>
      <c r="R227" s="223">
        <f t="shared" si="339"/>
        <v>0.27862308538064906</v>
      </c>
      <c r="S227" s="223">
        <f t="shared" si="340"/>
        <v>24</v>
      </c>
      <c r="T227" s="223">
        <f t="shared" si="341"/>
        <v>0.12594074877916442</v>
      </c>
      <c r="U227" s="223">
        <f t="shared" si="342"/>
        <v>0.39461434617471514</v>
      </c>
      <c r="V227" s="223">
        <f t="shared" si="343"/>
        <v>0.24409134814930833</v>
      </c>
      <c r="W227" s="203">
        <f t="shared" si="344"/>
        <v>350</v>
      </c>
      <c r="X227" s="454">
        <f t="shared" si="345"/>
        <v>350</v>
      </c>
      <c r="Z227" s="223">
        <f t="shared" si="346"/>
        <v>0.56337482818035733</v>
      </c>
      <c r="AA227" s="179">
        <f t="shared" si="347"/>
        <v>1.0919017288444037</v>
      </c>
      <c r="AB227" s="179">
        <f t="shared" si="348"/>
        <v>5.6388745313775496E-2</v>
      </c>
      <c r="AC227" s="179"/>
      <c r="AD227" s="179">
        <f t="shared" si="349"/>
        <v>0.56206185567010303</v>
      </c>
      <c r="AE227" s="563">
        <f t="shared" si="350"/>
        <v>148.4681357047082</v>
      </c>
      <c r="AF227" s="546">
        <f t="shared" si="351"/>
        <v>2.8524639175257726E-2</v>
      </c>
      <c r="AH227" s="179">
        <f t="shared" si="352"/>
        <v>0.25962329502405779</v>
      </c>
      <c r="AI227" s="179">
        <f t="shared" si="353"/>
        <v>0.28999999999999998</v>
      </c>
      <c r="AJ227" s="179">
        <f t="shared" si="354"/>
        <v>1.0848389346884046</v>
      </c>
      <c r="AL227" s="563">
        <f t="shared" si="355"/>
        <v>12.1</v>
      </c>
      <c r="AM227" s="472">
        <f t="shared" si="356"/>
        <v>148.4681357047082</v>
      </c>
      <c r="AO227">
        <f t="shared" si="357"/>
        <v>12.1</v>
      </c>
      <c r="AP227">
        <f t="shared" si="358"/>
        <v>148.4681357047082</v>
      </c>
      <c r="AR227" s="6">
        <f t="shared" si="322"/>
        <v>6.7354519894351181</v>
      </c>
      <c r="AS227" s="6">
        <f t="shared" si="313"/>
        <v>0.90866666666666662</v>
      </c>
      <c r="AT227" s="6">
        <f t="shared" si="314"/>
        <v>5.8267853227684512</v>
      </c>
      <c r="AU227" s="179">
        <f t="shared" si="315"/>
        <v>0.13490804597701153</v>
      </c>
      <c r="CD227" s="581">
        <f t="shared" si="359"/>
        <v>-50</v>
      </c>
    </row>
    <row r="228" spans="5:82" x14ac:dyDescent="0.2">
      <c r="E228" s="176">
        <v>12</v>
      </c>
      <c r="F228" s="223">
        <f t="shared" si="360"/>
        <v>1.32E-2</v>
      </c>
      <c r="G228" s="223">
        <f t="shared" si="329"/>
        <v>2.4E-2</v>
      </c>
      <c r="H228" s="223">
        <f t="shared" si="330"/>
        <v>0.31679999999999997</v>
      </c>
      <c r="I228" s="223">
        <f t="shared" si="331"/>
        <v>0.28800000000000003</v>
      </c>
      <c r="J228" s="559">
        <f t="shared" si="332"/>
        <v>15</v>
      </c>
      <c r="K228" s="454">
        <f t="shared" si="333"/>
        <v>24.25</v>
      </c>
      <c r="L228" s="454">
        <f t="shared" si="334"/>
        <v>39.25</v>
      </c>
      <c r="M228" s="454"/>
      <c r="N228" s="223">
        <f t="shared" si="335"/>
        <v>0.61783439490445857</v>
      </c>
      <c r="O228" s="178">
        <f t="shared" si="336"/>
        <v>3.3434770245677887</v>
      </c>
      <c r="P228" s="178">
        <f t="shared" si="337"/>
        <v>5.8027287203242626</v>
      </c>
      <c r="Q228" s="223">
        <f t="shared" si="338"/>
        <v>0.13931154269032453</v>
      </c>
      <c r="R228" s="223">
        <f t="shared" si="339"/>
        <v>0.27862308538064906</v>
      </c>
      <c r="S228" s="223">
        <f t="shared" si="340"/>
        <v>24</v>
      </c>
      <c r="T228" s="223">
        <f t="shared" si="341"/>
        <v>0.13738990775908846</v>
      </c>
      <c r="U228" s="223">
        <f t="shared" si="342"/>
        <v>0.43048837764514386</v>
      </c>
      <c r="V228" s="223">
        <f t="shared" si="343"/>
        <v>0.26628147070833641</v>
      </c>
      <c r="W228" s="203">
        <f t="shared" si="344"/>
        <v>350</v>
      </c>
      <c r="X228" s="454">
        <f t="shared" si="345"/>
        <v>350</v>
      </c>
      <c r="Z228" s="223">
        <f t="shared" si="346"/>
        <v>0.56337482818035733</v>
      </c>
      <c r="AA228" s="179">
        <f t="shared" si="347"/>
        <v>1.0919017288444037</v>
      </c>
      <c r="AB228" s="179">
        <f t="shared" si="348"/>
        <v>5.6388745313775496E-2</v>
      </c>
      <c r="AC228" s="179"/>
      <c r="AD228" s="179">
        <f t="shared" si="349"/>
        <v>0.56206185567010303</v>
      </c>
      <c r="AE228" s="563">
        <f t="shared" si="350"/>
        <v>161.96523895059079</v>
      </c>
      <c r="AF228" s="546">
        <f t="shared" si="351"/>
        <v>2.8524639175257726E-2</v>
      </c>
      <c r="AH228" s="179">
        <f t="shared" si="352"/>
        <v>0.27116768777569539</v>
      </c>
      <c r="AI228" s="179">
        <f t="shared" si="353"/>
        <v>0.28999999999999998</v>
      </c>
      <c r="AJ228" s="179">
        <f t="shared" si="354"/>
        <v>1.0925515651146234</v>
      </c>
      <c r="AL228" s="563">
        <f t="shared" si="355"/>
        <v>13.2</v>
      </c>
      <c r="AM228" s="472">
        <f t="shared" si="356"/>
        <v>161.96523895059079</v>
      </c>
      <c r="AO228">
        <f t="shared" si="357"/>
        <v>13.2</v>
      </c>
      <c r="AP228">
        <f t="shared" si="358"/>
        <v>161.96523895059079</v>
      </c>
      <c r="AR228" s="6">
        <f t="shared" si="322"/>
        <v>6.1741643236488581</v>
      </c>
      <c r="AS228" s="6">
        <f t="shared" si="313"/>
        <v>0.90866666666666662</v>
      </c>
      <c r="AT228" s="6">
        <f t="shared" si="314"/>
        <v>5.2654976569821912</v>
      </c>
      <c r="AU228" s="179">
        <f t="shared" si="315"/>
        <v>0.14717241379310347</v>
      </c>
      <c r="CD228" s="581">
        <f t="shared" si="359"/>
        <v>-50</v>
      </c>
    </row>
    <row r="229" spans="5:82" x14ac:dyDescent="0.2">
      <c r="E229" s="176">
        <v>13</v>
      </c>
      <c r="F229" s="223">
        <f t="shared" si="360"/>
        <v>1.43E-2</v>
      </c>
      <c r="G229" s="223">
        <f t="shared" si="329"/>
        <v>2.6000000000000002E-2</v>
      </c>
      <c r="H229" s="223">
        <f t="shared" si="330"/>
        <v>0.34320000000000001</v>
      </c>
      <c r="I229" s="223">
        <f t="shared" si="331"/>
        <v>0.31200000000000006</v>
      </c>
      <c r="J229" s="559">
        <f t="shared" si="332"/>
        <v>15</v>
      </c>
      <c r="K229" s="454">
        <f t="shared" si="333"/>
        <v>24.25</v>
      </c>
      <c r="L229" s="454">
        <f t="shared" si="334"/>
        <v>39.25</v>
      </c>
      <c r="M229" s="454"/>
      <c r="N229" s="223">
        <f t="shared" si="335"/>
        <v>0.61783439490445857</v>
      </c>
      <c r="O229" s="178">
        <f t="shared" si="336"/>
        <v>3.3434770245677887</v>
      </c>
      <c r="P229" s="178">
        <f t="shared" si="337"/>
        <v>5.8027287203242626</v>
      </c>
      <c r="Q229" s="223">
        <f t="shared" si="338"/>
        <v>0.13931154269032453</v>
      </c>
      <c r="R229" s="223">
        <f t="shared" si="339"/>
        <v>0.27862308538064906</v>
      </c>
      <c r="S229" s="223">
        <f t="shared" si="340"/>
        <v>24</v>
      </c>
      <c r="T229" s="223">
        <f t="shared" si="341"/>
        <v>0.14883906673901251</v>
      </c>
      <c r="U229" s="223">
        <f t="shared" si="342"/>
        <v>0.46636240911557253</v>
      </c>
      <c r="V229" s="223">
        <f t="shared" si="343"/>
        <v>0.28847159326736449</v>
      </c>
      <c r="W229" s="203">
        <f t="shared" si="344"/>
        <v>350</v>
      </c>
      <c r="X229" s="454">
        <f t="shared" si="345"/>
        <v>350</v>
      </c>
      <c r="Z229" s="223">
        <f t="shared" si="346"/>
        <v>0.56337482818035733</v>
      </c>
      <c r="AA229" s="179">
        <f t="shared" si="347"/>
        <v>1.0919017288444037</v>
      </c>
      <c r="AB229" s="179">
        <f t="shared" si="348"/>
        <v>5.6388745313775496E-2</v>
      </c>
      <c r="AC229" s="179"/>
      <c r="AD229" s="179">
        <f t="shared" si="349"/>
        <v>0.56206185567010303</v>
      </c>
      <c r="AE229" s="563">
        <f t="shared" si="350"/>
        <v>175.46234219647332</v>
      </c>
      <c r="AF229" s="546">
        <f t="shared" si="351"/>
        <v>2.8524639175257726E-2</v>
      </c>
      <c r="AH229" s="179">
        <f t="shared" si="352"/>
        <v>0.28224027789825662</v>
      </c>
      <c r="AI229" s="179">
        <f t="shared" si="353"/>
        <v>0.28999999999999998</v>
      </c>
      <c r="AJ229" s="179">
        <f t="shared" si="354"/>
        <v>1.1002641955408419</v>
      </c>
      <c r="AL229" s="563">
        <f t="shared" si="355"/>
        <v>14.3</v>
      </c>
      <c r="AM229" s="472">
        <f t="shared" si="356"/>
        <v>175.46234219647332</v>
      </c>
      <c r="AO229">
        <f t="shared" si="357"/>
        <v>14.3</v>
      </c>
      <c r="AP229">
        <f t="shared" si="358"/>
        <v>175.46234219647332</v>
      </c>
      <c r="AR229" s="6">
        <f t="shared" si="322"/>
        <v>5.6992286064451001</v>
      </c>
      <c r="AS229" s="6">
        <f t="shared" si="313"/>
        <v>0.90866666666666662</v>
      </c>
      <c r="AT229" s="6">
        <f t="shared" si="314"/>
        <v>4.7905619397784331</v>
      </c>
      <c r="AU229" s="179">
        <f t="shared" si="315"/>
        <v>0.15943678160919542</v>
      </c>
      <c r="CD229" s="581">
        <f t="shared" si="359"/>
        <v>-50</v>
      </c>
    </row>
    <row r="230" spans="5:82" x14ac:dyDescent="0.2">
      <c r="E230" s="176">
        <v>14</v>
      </c>
      <c r="F230" s="223">
        <f t="shared" si="360"/>
        <v>1.5400000000000002E-2</v>
      </c>
      <c r="G230" s="223">
        <f t="shared" si="329"/>
        <v>2.8000000000000004E-2</v>
      </c>
      <c r="H230" s="223">
        <f t="shared" si="330"/>
        <v>0.36960000000000004</v>
      </c>
      <c r="I230" s="223">
        <f t="shared" si="331"/>
        <v>0.33600000000000008</v>
      </c>
      <c r="J230" s="559">
        <f t="shared" si="332"/>
        <v>15</v>
      </c>
      <c r="K230" s="454">
        <f t="shared" si="333"/>
        <v>24.25</v>
      </c>
      <c r="L230" s="454">
        <f t="shared" si="334"/>
        <v>39.25</v>
      </c>
      <c r="M230" s="454"/>
      <c r="N230" s="223">
        <f t="shared" si="335"/>
        <v>0.61783439490445857</v>
      </c>
      <c r="O230" s="178">
        <f t="shared" si="336"/>
        <v>3.3434770245677887</v>
      </c>
      <c r="P230" s="178">
        <f t="shared" si="337"/>
        <v>5.8027287203242626</v>
      </c>
      <c r="Q230" s="223">
        <f t="shared" si="338"/>
        <v>0.13931154269032453</v>
      </c>
      <c r="R230" s="223">
        <f t="shared" si="339"/>
        <v>0.27862308538064906</v>
      </c>
      <c r="S230" s="223">
        <f t="shared" si="340"/>
        <v>24</v>
      </c>
      <c r="T230" s="223">
        <f t="shared" si="341"/>
        <v>0.16028822571893656</v>
      </c>
      <c r="U230" s="223">
        <f t="shared" si="342"/>
        <v>0.50223644058600114</v>
      </c>
      <c r="V230" s="223">
        <f t="shared" si="343"/>
        <v>0.31066171582639246</v>
      </c>
      <c r="W230" s="203">
        <f t="shared" si="344"/>
        <v>350</v>
      </c>
      <c r="X230" s="454">
        <f t="shared" si="345"/>
        <v>350</v>
      </c>
      <c r="Z230" s="223">
        <f t="shared" si="346"/>
        <v>0.56337482818035733</v>
      </c>
      <c r="AA230" s="179">
        <f t="shared" si="347"/>
        <v>1.0919017288444037</v>
      </c>
      <c r="AB230" s="179">
        <f t="shared" si="348"/>
        <v>5.6388745313775496E-2</v>
      </c>
      <c r="AC230" s="179"/>
      <c r="AD230" s="179">
        <f t="shared" si="349"/>
        <v>0.56206185567010303</v>
      </c>
      <c r="AE230" s="563">
        <f t="shared" si="350"/>
        <v>188.95944544235593</v>
      </c>
      <c r="AF230" s="546">
        <f t="shared" si="351"/>
        <v>2.8524639175257726E-2</v>
      </c>
      <c r="AH230" s="179">
        <f t="shared" si="352"/>
        <v>0.29289457837685084</v>
      </c>
      <c r="AI230" s="179">
        <f t="shared" si="353"/>
        <v>0.29289457837685084</v>
      </c>
      <c r="AJ230" s="179">
        <f t="shared" si="354"/>
        <v>1.1079768259670606</v>
      </c>
      <c r="AL230" s="563">
        <f t="shared" si="355"/>
        <v>15.400000000000002</v>
      </c>
      <c r="AM230" s="472">
        <f t="shared" si="356"/>
        <v>188.95944544235593</v>
      </c>
      <c r="AO230">
        <f t="shared" si="357"/>
        <v>15.400000000000002</v>
      </c>
      <c r="AP230">
        <f t="shared" si="358"/>
        <v>188.95944544235593</v>
      </c>
      <c r="AR230" s="6">
        <f t="shared" si="322"/>
        <v>5.2921408488418775</v>
      </c>
      <c r="AS230" s="6">
        <f t="shared" si="313"/>
        <v>0.91773634558079931</v>
      </c>
      <c r="AT230" s="6">
        <f t="shared" si="314"/>
        <v>4.3744045032610783</v>
      </c>
      <c r="AU230" s="179">
        <f t="shared" si="315"/>
        <v>0.17341495092324216</v>
      </c>
      <c r="CD230" s="581">
        <f t="shared" si="359"/>
        <v>-50</v>
      </c>
    </row>
    <row r="231" spans="5:82" x14ac:dyDescent="0.2">
      <c r="E231" s="176">
        <v>15</v>
      </c>
      <c r="F231" s="223">
        <f t="shared" si="360"/>
        <v>1.6500000000000001E-2</v>
      </c>
      <c r="G231" s="223">
        <f t="shared" si="329"/>
        <v>0.03</v>
      </c>
      <c r="H231" s="223">
        <f t="shared" si="330"/>
        <v>0.39600000000000002</v>
      </c>
      <c r="I231" s="223">
        <f t="shared" si="331"/>
        <v>0.36</v>
      </c>
      <c r="J231" s="559">
        <f t="shared" si="332"/>
        <v>15</v>
      </c>
      <c r="K231" s="454">
        <f t="shared" si="333"/>
        <v>24.25</v>
      </c>
      <c r="L231" s="454">
        <f t="shared" si="334"/>
        <v>39.25</v>
      </c>
      <c r="M231" s="454"/>
      <c r="N231" s="223">
        <f t="shared" si="335"/>
        <v>0.61783439490445857</v>
      </c>
      <c r="O231" s="178">
        <f t="shared" si="336"/>
        <v>3.3434770245677887</v>
      </c>
      <c r="P231" s="178">
        <f t="shared" si="337"/>
        <v>5.8027287203242626</v>
      </c>
      <c r="Q231" s="223">
        <f t="shared" si="338"/>
        <v>0.13931154269032453</v>
      </c>
      <c r="R231" s="223">
        <f t="shared" si="339"/>
        <v>0.27862308538064906</v>
      </c>
      <c r="S231" s="223">
        <f t="shared" si="340"/>
        <v>24</v>
      </c>
      <c r="T231" s="223">
        <f t="shared" si="341"/>
        <v>0.17173738469886057</v>
      </c>
      <c r="U231" s="223">
        <f t="shared" si="342"/>
        <v>0.53811047205642981</v>
      </c>
      <c r="V231" s="223">
        <f t="shared" si="343"/>
        <v>0.33285183838542048</v>
      </c>
      <c r="W231" s="203">
        <f t="shared" si="344"/>
        <v>350</v>
      </c>
      <c r="X231" s="454">
        <f t="shared" si="345"/>
        <v>350</v>
      </c>
      <c r="Z231" s="223">
        <f t="shared" si="346"/>
        <v>0.56337482818035733</v>
      </c>
      <c r="AA231" s="179">
        <f t="shared" si="347"/>
        <v>1.0919017288444037</v>
      </c>
      <c r="AB231" s="179">
        <f t="shared" si="348"/>
        <v>5.6388745313775496E-2</v>
      </c>
      <c r="AC231" s="179"/>
      <c r="AD231" s="179">
        <f t="shared" si="349"/>
        <v>0.56206185567010303</v>
      </c>
      <c r="AE231" s="563">
        <f t="shared" si="350"/>
        <v>202.45654868823843</v>
      </c>
      <c r="AF231" s="546">
        <f t="shared" si="351"/>
        <v>2.8524639175257726E-2</v>
      </c>
      <c r="AH231" s="179">
        <f t="shared" si="352"/>
        <v>0.30317469158394683</v>
      </c>
      <c r="AI231" s="179">
        <f t="shared" si="353"/>
        <v>0.30317469158394683</v>
      </c>
      <c r="AJ231" s="179">
        <f t="shared" si="354"/>
        <v>1.1156894563932791</v>
      </c>
      <c r="AL231" s="563">
        <f t="shared" si="355"/>
        <v>16.5</v>
      </c>
      <c r="AM231" s="472">
        <f t="shared" si="356"/>
        <v>202.45654868823843</v>
      </c>
      <c r="AO231">
        <f t="shared" si="357"/>
        <v>16.5</v>
      </c>
      <c r="AP231">
        <f t="shared" si="358"/>
        <v>202.45654868823843</v>
      </c>
      <c r="AR231" s="6">
        <f t="shared" si="322"/>
        <v>4.9393314589190878</v>
      </c>
      <c r="AS231" s="6">
        <f t="shared" si="313"/>
        <v>0.9499473669630335</v>
      </c>
      <c r="AT231" s="6">
        <f t="shared" si="314"/>
        <v>3.9893840919560541</v>
      </c>
      <c r="AU231" s="179">
        <f t="shared" si="315"/>
        <v>0.19232306535081528</v>
      </c>
      <c r="CD231" s="581">
        <f t="shared" si="359"/>
        <v>-50</v>
      </c>
    </row>
    <row r="232" spans="5:82" x14ac:dyDescent="0.2">
      <c r="E232" s="176">
        <v>16</v>
      </c>
      <c r="F232" s="223">
        <f t="shared" si="360"/>
        <v>1.7600000000000001E-2</v>
      </c>
      <c r="G232" s="223">
        <f t="shared" si="329"/>
        <v>3.2000000000000001E-2</v>
      </c>
      <c r="H232" s="223">
        <f t="shared" si="330"/>
        <v>0.4224</v>
      </c>
      <c r="I232" s="223">
        <f t="shared" si="331"/>
        <v>0.38400000000000001</v>
      </c>
      <c r="J232" s="559">
        <f t="shared" si="332"/>
        <v>15</v>
      </c>
      <c r="K232" s="454">
        <f t="shared" si="333"/>
        <v>24.25</v>
      </c>
      <c r="L232" s="454">
        <f t="shared" si="334"/>
        <v>39.25</v>
      </c>
      <c r="M232" s="454"/>
      <c r="N232" s="223">
        <f t="shared" si="335"/>
        <v>0.61783439490445857</v>
      </c>
      <c r="O232" s="178">
        <f t="shared" si="336"/>
        <v>3.3434770245677887</v>
      </c>
      <c r="P232" s="178">
        <f t="shared" si="337"/>
        <v>5.8027287203242626</v>
      </c>
      <c r="Q232" s="223">
        <f t="shared" si="338"/>
        <v>0.13931154269032453</v>
      </c>
      <c r="R232" s="223">
        <f t="shared" si="339"/>
        <v>0.27862308538064906</v>
      </c>
      <c r="S232" s="223">
        <f t="shared" si="340"/>
        <v>24</v>
      </c>
      <c r="T232" s="223">
        <f t="shared" si="341"/>
        <v>0.18318654367878462</v>
      </c>
      <c r="U232" s="223">
        <f t="shared" si="342"/>
        <v>0.57398450352685848</v>
      </c>
      <c r="V232" s="223">
        <f t="shared" si="343"/>
        <v>0.35504196094444856</v>
      </c>
      <c r="W232" s="203">
        <f t="shared" si="344"/>
        <v>350</v>
      </c>
      <c r="X232" s="454">
        <f t="shared" si="345"/>
        <v>350</v>
      </c>
      <c r="Z232" s="223">
        <f t="shared" si="346"/>
        <v>0.56337482818035733</v>
      </c>
      <c r="AA232" s="179">
        <f t="shared" si="347"/>
        <v>1.0919017288444037</v>
      </c>
      <c r="AB232" s="179">
        <f t="shared" si="348"/>
        <v>5.6388745313775496E-2</v>
      </c>
      <c r="AC232" s="179"/>
      <c r="AD232" s="179">
        <f t="shared" si="349"/>
        <v>0.56206185567010303</v>
      </c>
      <c r="AE232" s="563">
        <f t="shared" si="350"/>
        <v>215.95365193412101</v>
      </c>
      <c r="AF232" s="546">
        <f t="shared" si="351"/>
        <v>2.8524639175257726E-2</v>
      </c>
      <c r="AH232" s="179">
        <f t="shared" si="352"/>
        <v>0.3131174750656523</v>
      </c>
      <c r="AI232" s="179">
        <f t="shared" si="353"/>
        <v>0.3131174750656523</v>
      </c>
      <c r="AJ232" s="179">
        <f t="shared" si="354"/>
        <v>1.1234020868194978</v>
      </c>
      <c r="AL232" s="563">
        <f t="shared" si="355"/>
        <v>17.600000000000001</v>
      </c>
      <c r="AM232" s="472">
        <f t="shared" si="356"/>
        <v>215.95365193412101</v>
      </c>
      <c r="AO232">
        <f t="shared" si="357"/>
        <v>17.600000000000001</v>
      </c>
      <c r="AP232">
        <f t="shared" si="358"/>
        <v>215.95365193412101</v>
      </c>
      <c r="AR232" s="6">
        <f t="shared" si="322"/>
        <v>4.6306232427366449</v>
      </c>
      <c r="AS232" s="6">
        <f t="shared" si="313"/>
        <v>0.98110142187237726</v>
      </c>
      <c r="AT232" s="6">
        <f t="shared" si="314"/>
        <v>3.6495218208642677</v>
      </c>
      <c r="AU232" s="179">
        <f t="shared" si="315"/>
        <v>0.21187243497109853</v>
      </c>
      <c r="CD232" s="581">
        <f t="shared" si="359"/>
        <v>-50</v>
      </c>
    </row>
    <row r="233" spans="5:82" x14ac:dyDescent="0.2">
      <c r="E233" s="176">
        <v>17</v>
      </c>
      <c r="F233" s="223">
        <f t="shared" si="360"/>
        <v>1.8700000000000001E-2</v>
      </c>
      <c r="G233" s="223">
        <f t="shared" si="329"/>
        <v>3.4000000000000002E-2</v>
      </c>
      <c r="H233" s="223">
        <f t="shared" si="330"/>
        <v>0.44880000000000003</v>
      </c>
      <c r="I233" s="223">
        <f t="shared" si="331"/>
        <v>0.40800000000000003</v>
      </c>
      <c r="J233" s="559">
        <f t="shared" si="332"/>
        <v>15</v>
      </c>
      <c r="K233" s="454">
        <f t="shared" si="333"/>
        <v>24.25</v>
      </c>
      <c r="L233" s="454">
        <f t="shared" si="334"/>
        <v>39.25</v>
      </c>
      <c r="M233" s="454"/>
      <c r="N233" s="223">
        <f t="shared" si="335"/>
        <v>0.61783439490445857</v>
      </c>
      <c r="O233" s="178">
        <f t="shared" si="336"/>
        <v>3.3434770245677887</v>
      </c>
      <c r="P233" s="178">
        <f t="shared" si="337"/>
        <v>5.8027287203242626</v>
      </c>
      <c r="Q233" s="223">
        <f t="shared" si="338"/>
        <v>0.13931154269032453</v>
      </c>
      <c r="R233" s="223">
        <f t="shared" si="339"/>
        <v>0.27862308538064906</v>
      </c>
      <c r="S233" s="223">
        <f t="shared" si="340"/>
        <v>24</v>
      </c>
      <c r="T233" s="223">
        <f t="shared" si="341"/>
        <v>0.19463570265870866</v>
      </c>
      <c r="U233" s="223">
        <f t="shared" si="342"/>
        <v>0.60985853499728715</v>
      </c>
      <c r="V233" s="223">
        <f t="shared" si="343"/>
        <v>0.37723208350347659</v>
      </c>
      <c r="W233" s="203">
        <f t="shared" si="344"/>
        <v>350</v>
      </c>
      <c r="X233" s="454">
        <f t="shared" si="345"/>
        <v>350</v>
      </c>
      <c r="Z233" s="223">
        <f t="shared" si="346"/>
        <v>0.56337482818035733</v>
      </c>
      <c r="AA233" s="179">
        <f t="shared" si="347"/>
        <v>1.0919017288444037</v>
      </c>
      <c r="AB233" s="179">
        <f t="shared" si="348"/>
        <v>5.6388745313775496E-2</v>
      </c>
      <c r="AC233" s="179"/>
      <c r="AD233" s="179">
        <f t="shared" si="349"/>
        <v>0.56206185567010303</v>
      </c>
      <c r="AE233" s="563">
        <f t="shared" si="350"/>
        <v>229.45075518000363</v>
      </c>
      <c r="AF233" s="546">
        <f t="shared" si="351"/>
        <v>2.8524639175257726E-2</v>
      </c>
      <c r="AH233" s="179">
        <f t="shared" si="352"/>
        <v>0.3227541057305971</v>
      </c>
      <c r="AI233" s="179">
        <f t="shared" si="353"/>
        <v>0.3227541057305971</v>
      </c>
      <c r="AJ233" s="179">
        <f t="shared" si="354"/>
        <v>1.1311147172457163</v>
      </c>
      <c r="AL233" s="563">
        <f t="shared" si="355"/>
        <v>18.700000000000003</v>
      </c>
      <c r="AM233" s="472">
        <f t="shared" si="356"/>
        <v>229.45075518000363</v>
      </c>
      <c r="AO233">
        <f t="shared" si="357"/>
        <v>18.700000000000003</v>
      </c>
      <c r="AP233">
        <f t="shared" si="358"/>
        <v>229.45075518000363</v>
      </c>
      <c r="AR233" s="6">
        <f t="shared" si="322"/>
        <v>4.3582336402227231</v>
      </c>
      <c r="AS233" s="6">
        <f t="shared" si="313"/>
        <v>1.0112961979558708</v>
      </c>
      <c r="AT233" s="6">
        <f t="shared" si="314"/>
        <v>3.3469374422668521</v>
      </c>
      <c r="AU233" s="179">
        <f t="shared" si="315"/>
        <v>0.23204267633164097</v>
      </c>
      <c r="CD233" s="581">
        <f t="shared" si="359"/>
        <v>-50</v>
      </c>
    </row>
    <row r="234" spans="5:82" x14ac:dyDescent="0.2">
      <c r="E234" s="176">
        <v>18</v>
      </c>
      <c r="F234" s="223">
        <f t="shared" si="360"/>
        <v>1.9799999999999998E-2</v>
      </c>
      <c r="G234" s="223">
        <f t="shared" si="329"/>
        <v>3.5999999999999997E-2</v>
      </c>
      <c r="H234" s="223">
        <f t="shared" si="330"/>
        <v>0.47519999999999996</v>
      </c>
      <c r="I234" s="223">
        <f t="shared" si="331"/>
        <v>0.43199999999999994</v>
      </c>
      <c r="J234" s="559">
        <f t="shared" si="332"/>
        <v>15</v>
      </c>
      <c r="K234" s="454">
        <f t="shared" si="333"/>
        <v>24.25</v>
      </c>
      <c r="L234" s="454">
        <f t="shared" si="334"/>
        <v>39.25</v>
      </c>
      <c r="M234" s="454"/>
      <c r="N234" s="223">
        <f t="shared" si="335"/>
        <v>0.61783439490445857</v>
      </c>
      <c r="O234" s="178">
        <f t="shared" si="336"/>
        <v>3.3434770245677887</v>
      </c>
      <c r="P234" s="178">
        <f t="shared" si="337"/>
        <v>5.8027287203242626</v>
      </c>
      <c r="Q234" s="223">
        <f t="shared" si="338"/>
        <v>0.13931154269032453</v>
      </c>
      <c r="R234" s="223">
        <f t="shared" si="339"/>
        <v>0.27862308538064906</v>
      </c>
      <c r="S234" s="223">
        <f t="shared" si="340"/>
        <v>24</v>
      </c>
      <c r="T234" s="223">
        <f t="shared" si="341"/>
        <v>0.20608486163863268</v>
      </c>
      <c r="U234" s="223">
        <f t="shared" si="342"/>
        <v>0.64573256646771571</v>
      </c>
      <c r="V234" s="223">
        <f t="shared" si="343"/>
        <v>0.39942220606250456</v>
      </c>
      <c r="W234" s="203">
        <f t="shared" si="344"/>
        <v>350</v>
      </c>
      <c r="X234" s="454">
        <f t="shared" si="345"/>
        <v>350</v>
      </c>
      <c r="Z234" s="223">
        <f t="shared" si="346"/>
        <v>0.56337482818035733</v>
      </c>
      <c r="AA234" s="179">
        <f t="shared" si="347"/>
        <v>1.0919017288444037</v>
      </c>
      <c r="AB234" s="179">
        <f t="shared" si="348"/>
        <v>5.6388745313775496E-2</v>
      </c>
      <c r="AC234" s="179"/>
      <c r="AD234" s="179">
        <f t="shared" si="349"/>
        <v>0.56206185567010303</v>
      </c>
      <c r="AE234" s="563">
        <f t="shared" si="350"/>
        <v>242.94785842588612</v>
      </c>
      <c r="AF234" s="546">
        <f t="shared" si="351"/>
        <v>2.8524639175257726E-2</v>
      </c>
      <c r="AH234" s="179">
        <f t="shared" si="352"/>
        <v>0.33211123489039862</v>
      </c>
      <c r="AI234" s="179">
        <f t="shared" si="353"/>
        <v>0.33211123489039862</v>
      </c>
      <c r="AJ234" s="179">
        <f t="shared" si="354"/>
        <v>1.1388273476719348</v>
      </c>
      <c r="AL234" s="563">
        <f t="shared" si="355"/>
        <v>19.799999999999997</v>
      </c>
      <c r="AM234" s="472">
        <f t="shared" si="356"/>
        <v>242.94785842588612</v>
      </c>
      <c r="AO234">
        <f t="shared" si="357"/>
        <v>19.799999999999997</v>
      </c>
      <c r="AP234">
        <f t="shared" si="358"/>
        <v>242.94785842588612</v>
      </c>
      <c r="AR234" s="6">
        <f t="shared" si="322"/>
        <v>4.1161095490992397</v>
      </c>
      <c r="AS234" s="6">
        <f t="shared" si="313"/>
        <v>1.0406152026565825</v>
      </c>
      <c r="AT234" s="6">
        <f t="shared" si="314"/>
        <v>3.0754943464426572</v>
      </c>
      <c r="AU234" s="179">
        <f t="shared" si="315"/>
        <v>0.25281523493083619</v>
      </c>
      <c r="CD234" s="581">
        <f t="shared" si="359"/>
        <v>-50</v>
      </c>
    </row>
    <row r="235" spans="5:82" x14ac:dyDescent="0.2">
      <c r="E235" s="176">
        <v>19</v>
      </c>
      <c r="F235" s="223">
        <f t="shared" si="360"/>
        <v>2.0900000000000002E-2</v>
      </c>
      <c r="G235" s="223">
        <f t="shared" si="329"/>
        <v>3.8000000000000006E-2</v>
      </c>
      <c r="H235" s="223">
        <f t="shared" si="330"/>
        <v>0.50160000000000005</v>
      </c>
      <c r="I235" s="223">
        <f t="shared" si="331"/>
        <v>0.45600000000000007</v>
      </c>
      <c r="J235" s="559">
        <f t="shared" si="332"/>
        <v>15</v>
      </c>
      <c r="K235" s="454">
        <f t="shared" si="333"/>
        <v>24.25</v>
      </c>
      <c r="L235" s="454">
        <f t="shared" si="334"/>
        <v>39.25</v>
      </c>
      <c r="M235" s="454"/>
      <c r="N235" s="223">
        <f t="shared" si="335"/>
        <v>0.61783439490445857</v>
      </c>
      <c r="O235" s="178">
        <f t="shared" si="336"/>
        <v>3.3434770245677887</v>
      </c>
      <c r="P235" s="178">
        <f t="shared" si="337"/>
        <v>5.8027287203242626</v>
      </c>
      <c r="Q235" s="223">
        <f t="shared" si="338"/>
        <v>0.13931154269032453</v>
      </c>
      <c r="R235" s="223">
        <f t="shared" si="339"/>
        <v>0.27862308538064906</v>
      </c>
      <c r="S235" s="223">
        <f t="shared" si="340"/>
        <v>24</v>
      </c>
      <c r="T235" s="223">
        <f t="shared" si="341"/>
        <v>0.21753402061855676</v>
      </c>
      <c r="U235" s="223">
        <f t="shared" si="342"/>
        <v>0.68160659793814449</v>
      </c>
      <c r="V235" s="223">
        <f t="shared" si="343"/>
        <v>0.42161232862153264</v>
      </c>
      <c r="W235" s="203">
        <f t="shared" si="344"/>
        <v>350</v>
      </c>
      <c r="X235" s="454">
        <f t="shared" si="345"/>
        <v>350</v>
      </c>
      <c r="Z235" s="223">
        <f t="shared" si="346"/>
        <v>0.56337482818035733</v>
      </c>
      <c r="AA235" s="179">
        <f t="shared" si="347"/>
        <v>1.0919017288444037</v>
      </c>
      <c r="AB235" s="179">
        <f t="shared" si="348"/>
        <v>5.6388745313775496E-2</v>
      </c>
      <c r="AC235" s="179"/>
      <c r="AD235" s="179">
        <f t="shared" si="349"/>
        <v>0.56206185567010303</v>
      </c>
      <c r="AE235" s="563">
        <f t="shared" si="350"/>
        <v>256.44496167176874</v>
      </c>
      <c r="AF235" s="546">
        <f t="shared" si="351"/>
        <v>2.8524639175257726E-2</v>
      </c>
      <c r="AH235" s="179">
        <f t="shared" si="352"/>
        <v>0.34121185781694874</v>
      </c>
      <c r="AI235" s="179">
        <f t="shared" si="353"/>
        <v>0.34121185781694874</v>
      </c>
      <c r="AJ235" s="179">
        <f t="shared" si="354"/>
        <v>1.1465399780981536</v>
      </c>
      <c r="AL235" s="563">
        <f t="shared" si="355"/>
        <v>20.900000000000002</v>
      </c>
      <c r="AM235" s="472">
        <f t="shared" si="356"/>
        <v>256.44496167176874</v>
      </c>
      <c r="AO235">
        <f t="shared" si="357"/>
        <v>20.900000000000002</v>
      </c>
      <c r="AP235">
        <f t="shared" si="358"/>
        <v>256.44496167176874</v>
      </c>
      <c r="AR235" s="6">
        <f t="shared" si="322"/>
        <v>3.8994722044098054</v>
      </c>
      <c r="AS235" s="6">
        <f t="shared" si="313"/>
        <v>1.0691304878264392</v>
      </c>
      <c r="AT235" s="6">
        <f t="shared" si="314"/>
        <v>2.8303417165833662</v>
      </c>
      <c r="AU235" s="179">
        <f t="shared" si="315"/>
        <v>0.27417312697277058</v>
      </c>
      <c r="CD235" s="581">
        <f t="shared" si="359"/>
        <v>-50</v>
      </c>
    </row>
    <row r="236" spans="5:82" x14ac:dyDescent="0.2">
      <c r="E236" s="176">
        <v>20</v>
      </c>
      <c r="F236" s="223">
        <f t="shared" si="360"/>
        <v>2.2000000000000002E-2</v>
      </c>
      <c r="G236" s="223">
        <f t="shared" si="329"/>
        <v>4.0000000000000008E-2</v>
      </c>
      <c r="H236" s="223">
        <f t="shared" si="330"/>
        <v>0.52800000000000002</v>
      </c>
      <c r="I236" s="223">
        <f t="shared" si="331"/>
        <v>0.48000000000000009</v>
      </c>
      <c r="J236" s="559">
        <f t="shared" si="332"/>
        <v>15</v>
      </c>
      <c r="K236" s="454">
        <f t="shared" si="333"/>
        <v>24.25</v>
      </c>
      <c r="L236" s="454">
        <f t="shared" si="334"/>
        <v>39.25</v>
      </c>
      <c r="M236" s="454"/>
      <c r="N236" s="223">
        <f t="shared" si="335"/>
        <v>0.61783439490445857</v>
      </c>
      <c r="O236" s="178">
        <f t="shared" si="336"/>
        <v>3.3434770245677887</v>
      </c>
      <c r="P236" s="178">
        <f t="shared" si="337"/>
        <v>5.8027287203242626</v>
      </c>
      <c r="Q236" s="223">
        <f t="shared" si="338"/>
        <v>0.13931154269032453</v>
      </c>
      <c r="R236" s="223">
        <f t="shared" si="339"/>
        <v>0.27862308538064906</v>
      </c>
      <c r="S236" s="223">
        <f t="shared" si="340"/>
        <v>24</v>
      </c>
      <c r="T236" s="223">
        <f t="shared" si="341"/>
        <v>0.22898317959848077</v>
      </c>
      <c r="U236" s="223">
        <f t="shared" si="342"/>
        <v>0.71748062940857305</v>
      </c>
      <c r="V236" s="223">
        <f t="shared" si="343"/>
        <v>0.44380245118056061</v>
      </c>
      <c r="W236" s="203">
        <f t="shared" si="344"/>
        <v>350</v>
      </c>
      <c r="X236" s="454">
        <f t="shared" si="345"/>
        <v>350</v>
      </c>
      <c r="Z236" s="223">
        <f t="shared" si="346"/>
        <v>0.56337482818035733</v>
      </c>
      <c r="AA236" s="179">
        <f t="shared" si="347"/>
        <v>1.0919017288444037</v>
      </c>
      <c r="AB236" s="179">
        <f t="shared" si="348"/>
        <v>5.6388745313775496E-2</v>
      </c>
      <c r="AC236" s="179"/>
      <c r="AD236" s="179">
        <f t="shared" si="349"/>
        <v>0.56206185567010303</v>
      </c>
      <c r="AE236" s="563">
        <f t="shared" si="350"/>
        <v>269.94206491765129</v>
      </c>
      <c r="AF236" s="546">
        <f t="shared" si="351"/>
        <v>2.8524639175257726E-2</v>
      </c>
      <c r="AH236" s="179">
        <f t="shared" si="352"/>
        <v>0.35007597959494696</v>
      </c>
      <c r="AI236" s="179">
        <f t="shared" si="353"/>
        <v>0.35007597959494696</v>
      </c>
      <c r="AJ236" s="179">
        <f t="shared" si="354"/>
        <v>1.1542526085243723</v>
      </c>
      <c r="AL236" s="563">
        <f t="shared" si="355"/>
        <v>22.000000000000004</v>
      </c>
      <c r="AM236" s="472">
        <f t="shared" si="356"/>
        <v>269.94206491765129</v>
      </c>
      <c r="AO236">
        <f t="shared" si="357"/>
        <v>22.000000000000004</v>
      </c>
      <c r="AP236">
        <f t="shared" si="358"/>
        <v>269.94206491765129</v>
      </c>
      <c r="AR236" s="6">
        <f t="shared" si="322"/>
        <v>3.7044985941893152</v>
      </c>
      <c r="AS236" s="6">
        <f t="shared" si="313"/>
        <v>1.0969047360641671</v>
      </c>
      <c r="AT236" s="6">
        <f t="shared" si="314"/>
        <v>2.6075938581251483</v>
      </c>
      <c r="AU236" s="179">
        <f t="shared" si="315"/>
        <v>0.29610072947111254</v>
      </c>
      <c r="CD236" s="581">
        <f t="shared" si="359"/>
        <v>-50</v>
      </c>
    </row>
    <row r="237" spans="5:82" x14ac:dyDescent="0.2">
      <c r="E237" s="176">
        <v>21</v>
      </c>
      <c r="F237" s="223">
        <f t="shared" si="360"/>
        <v>2.3099999999999999E-2</v>
      </c>
      <c r="G237" s="223">
        <f t="shared" si="329"/>
        <v>4.2000000000000003E-2</v>
      </c>
      <c r="H237" s="223">
        <f t="shared" si="330"/>
        <v>0.5544</v>
      </c>
      <c r="I237" s="223">
        <f t="shared" si="331"/>
        <v>0.504</v>
      </c>
      <c r="J237" s="559">
        <f t="shared" si="332"/>
        <v>15</v>
      </c>
      <c r="K237" s="454">
        <f t="shared" si="333"/>
        <v>24.25</v>
      </c>
      <c r="L237" s="454">
        <f t="shared" si="334"/>
        <v>39.25</v>
      </c>
      <c r="M237" s="454"/>
      <c r="N237" s="223">
        <f t="shared" si="335"/>
        <v>0.61783439490445857</v>
      </c>
      <c r="O237" s="178">
        <f t="shared" si="336"/>
        <v>3.3434770245677887</v>
      </c>
      <c r="P237" s="178">
        <f t="shared" si="337"/>
        <v>5.8027287203242626</v>
      </c>
      <c r="Q237" s="223">
        <f t="shared" si="338"/>
        <v>0.13931154269032453</v>
      </c>
      <c r="R237" s="223">
        <f t="shared" si="339"/>
        <v>0.27862308538064906</v>
      </c>
      <c r="S237" s="223">
        <f t="shared" si="340"/>
        <v>24</v>
      </c>
      <c r="T237" s="223">
        <f t="shared" si="341"/>
        <v>0.24043233857840482</v>
      </c>
      <c r="U237" s="223">
        <f t="shared" si="342"/>
        <v>0.75335466087900171</v>
      </c>
      <c r="V237" s="223">
        <f t="shared" si="343"/>
        <v>0.46599257373958869</v>
      </c>
      <c r="W237" s="203">
        <f t="shared" si="344"/>
        <v>350</v>
      </c>
      <c r="X237" s="454">
        <f t="shared" si="345"/>
        <v>350</v>
      </c>
      <c r="Z237" s="223">
        <f t="shared" si="346"/>
        <v>0.56337482818035733</v>
      </c>
      <c r="AA237" s="179">
        <f t="shared" si="347"/>
        <v>1.0919017288444037</v>
      </c>
      <c r="AB237" s="179">
        <f t="shared" si="348"/>
        <v>5.6388745313775496E-2</v>
      </c>
      <c r="AC237" s="179"/>
      <c r="AD237" s="179">
        <f t="shared" si="349"/>
        <v>0.56206185567010303</v>
      </c>
      <c r="AE237" s="563">
        <f t="shared" si="350"/>
        <v>283.43916816353385</v>
      </c>
      <c r="AF237" s="546">
        <f t="shared" si="351"/>
        <v>2.8524639175257726E-2</v>
      </c>
      <c r="AH237" s="179">
        <f t="shared" si="352"/>
        <v>0.35872113272544981</v>
      </c>
      <c r="AI237" s="179">
        <f t="shared" si="353"/>
        <v>0.35872113272544981</v>
      </c>
      <c r="AJ237" s="179">
        <f t="shared" si="354"/>
        <v>1.1619652389505908</v>
      </c>
      <c r="AL237" s="563">
        <f t="shared" si="355"/>
        <v>23.099999999999998</v>
      </c>
      <c r="AM237" s="472">
        <f t="shared" si="356"/>
        <v>283.43916816353385</v>
      </c>
      <c r="AO237">
        <f t="shared" si="357"/>
        <v>23.099999999999998</v>
      </c>
      <c r="AP237">
        <f t="shared" si="358"/>
        <v>283.43916816353385</v>
      </c>
      <c r="AR237" s="6">
        <f t="shared" si="322"/>
        <v>3.5280938992279189</v>
      </c>
      <c r="AS237" s="6">
        <f t="shared" si="313"/>
        <v>1.1239928825397425</v>
      </c>
      <c r="AT237" s="6">
        <f t="shared" si="314"/>
        <v>2.4041010166881764</v>
      </c>
      <c r="AU237" s="179">
        <f t="shared" si="315"/>
        <v>0.31858360764879723</v>
      </c>
      <c r="CD237" s="581">
        <f t="shared" si="359"/>
        <v>-50</v>
      </c>
    </row>
    <row r="238" spans="5:82" x14ac:dyDescent="0.2">
      <c r="E238" s="176">
        <v>22</v>
      </c>
      <c r="F238" s="223">
        <f t="shared" si="360"/>
        <v>2.4199999999999999E-2</v>
      </c>
      <c r="G238" s="223">
        <f t="shared" si="329"/>
        <v>4.4000000000000004E-2</v>
      </c>
      <c r="H238" s="223">
        <f t="shared" si="330"/>
        <v>0.58079999999999998</v>
      </c>
      <c r="I238" s="223">
        <f t="shared" si="331"/>
        <v>0.52800000000000002</v>
      </c>
      <c r="J238" s="559">
        <f t="shared" si="332"/>
        <v>15</v>
      </c>
      <c r="K238" s="454">
        <f t="shared" si="333"/>
        <v>24.25</v>
      </c>
      <c r="L238" s="454">
        <f t="shared" si="334"/>
        <v>39.25</v>
      </c>
      <c r="M238" s="454"/>
      <c r="N238" s="223">
        <f t="shared" si="335"/>
        <v>0.61783439490445857</v>
      </c>
      <c r="O238" s="178">
        <f t="shared" si="336"/>
        <v>3.3434770245677887</v>
      </c>
      <c r="P238" s="178">
        <f t="shared" si="337"/>
        <v>5.8027287203242626</v>
      </c>
      <c r="Q238" s="223">
        <f t="shared" si="338"/>
        <v>0.13931154269032453</v>
      </c>
      <c r="R238" s="223">
        <f t="shared" si="339"/>
        <v>0.27862308538064906</v>
      </c>
      <c r="S238" s="223">
        <f t="shared" si="340"/>
        <v>24</v>
      </c>
      <c r="T238" s="223">
        <f t="shared" si="341"/>
        <v>0.25188149755832884</v>
      </c>
      <c r="U238" s="223">
        <f t="shared" si="342"/>
        <v>0.78922869234943027</v>
      </c>
      <c r="V238" s="223">
        <f t="shared" si="343"/>
        <v>0.48818269629861666</v>
      </c>
      <c r="W238" s="203">
        <f t="shared" si="344"/>
        <v>350</v>
      </c>
      <c r="X238" s="454">
        <f t="shared" si="345"/>
        <v>350</v>
      </c>
      <c r="Z238" s="223">
        <f t="shared" si="346"/>
        <v>0.56337482818035733</v>
      </c>
      <c r="AA238" s="179">
        <f t="shared" si="347"/>
        <v>1.0919017288444037</v>
      </c>
      <c r="AB238" s="179">
        <f t="shared" si="348"/>
        <v>5.6388745313775496E-2</v>
      </c>
      <c r="AC238" s="179"/>
      <c r="AD238" s="179">
        <f t="shared" si="349"/>
        <v>0.56206185567010303</v>
      </c>
      <c r="AE238" s="563">
        <f t="shared" si="350"/>
        <v>296.93627140941641</v>
      </c>
      <c r="AF238" s="546">
        <f t="shared" si="351"/>
        <v>2.8524639175257726E-2</v>
      </c>
      <c r="AH238" s="179">
        <f t="shared" si="352"/>
        <v>0.36716278493101379</v>
      </c>
      <c r="AI238" s="179">
        <f t="shared" si="353"/>
        <v>0.36716278493101379</v>
      </c>
      <c r="AJ238" s="179">
        <f t="shared" si="354"/>
        <v>1.1696778693768093</v>
      </c>
      <c r="AL238" s="563">
        <f t="shared" si="355"/>
        <v>24.2</v>
      </c>
      <c r="AM238" s="472">
        <f t="shared" si="356"/>
        <v>296.93627140941641</v>
      </c>
      <c r="AO238">
        <f t="shared" si="357"/>
        <v>24.2</v>
      </c>
      <c r="AP238">
        <f t="shared" si="358"/>
        <v>296.93627140941641</v>
      </c>
      <c r="AR238" s="6">
        <f t="shared" si="322"/>
        <v>3.3677259947175591</v>
      </c>
      <c r="AS238" s="6">
        <f t="shared" si="313"/>
        <v>1.1504433927838431</v>
      </c>
      <c r="AT238" s="6">
        <f t="shared" si="314"/>
        <v>2.2172826019337162</v>
      </c>
      <c r="AU238" s="179">
        <f t="shared" si="315"/>
        <v>0.34160837152083312</v>
      </c>
      <c r="CD238" s="581">
        <f t="shared" si="359"/>
        <v>-50</v>
      </c>
    </row>
    <row r="239" spans="5:82" x14ac:dyDescent="0.2">
      <c r="E239" s="176">
        <v>23</v>
      </c>
      <c r="F239" s="223">
        <f t="shared" si="360"/>
        <v>2.53E-2</v>
      </c>
      <c r="G239" s="223">
        <f t="shared" si="329"/>
        <v>4.6000000000000006E-2</v>
      </c>
      <c r="H239" s="223">
        <f t="shared" si="330"/>
        <v>0.60719999999999996</v>
      </c>
      <c r="I239" s="223">
        <f t="shared" si="331"/>
        <v>0.55200000000000005</v>
      </c>
      <c r="J239" s="559">
        <f t="shared" si="332"/>
        <v>15</v>
      </c>
      <c r="K239" s="454">
        <f t="shared" si="333"/>
        <v>24.25</v>
      </c>
      <c r="L239" s="454">
        <f t="shared" si="334"/>
        <v>39.25</v>
      </c>
      <c r="M239" s="454"/>
      <c r="N239" s="223">
        <f t="shared" si="335"/>
        <v>0.61783439490445857</v>
      </c>
      <c r="O239" s="178">
        <f t="shared" si="336"/>
        <v>3.3434770245677887</v>
      </c>
      <c r="P239" s="178">
        <f t="shared" si="337"/>
        <v>5.8027287203242626</v>
      </c>
      <c r="Q239" s="223">
        <f t="shared" si="338"/>
        <v>0.13931154269032453</v>
      </c>
      <c r="R239" s="223">
        <f t="shared" si="339"/>
        <v>0.27862308538064906</v>
      </c>
      <c r="S239" s="223">
        <f t="shared" si="340"/>
        <v>24</v>
      </c>
      <c r="T239" s="223">
        <f t="shared" si="341"/>
        <v>0.26333065653825288</v>
      </c>
      <c r="U239" s="223">
        <f t="shared" si="342"/>
        <v>0.82510272381985894</v>
      </c>
      <c r="V239" s="223">
        <f t="shared" si="343"/>
        <v>0.51037281885764463</v>
      </c>
      <c r="W239" s="203">
        <f t="shared" si="344"/>
        <v>350</v>
      </c>
      <c r="X239" s="454">
        <f t="shared" si="345"/>
        <v>350</v>
      </c>
      <c r="Z239" s="223">
        <f t="shared" si="346"/>
        <v>0.56337482818035733</v>
      </c>
      <c r="AA239" s="179">
        <f t="shared" si="347"/>
        <v>1.0919017288444037</v>
      </c>
      <c r="AB239" s="179">
        <f t="shared" si="348"/>
        <v>5.6388745313775496E-2</v>
      </c>
      <c r="AC239" s="179"/>
      <c r="AD239" s="179">
        <f t="shared" si="349"/>
        <v>0.56206185567010303</v>
      </c>
      <c r="AE239" s="563">
        <f t="shared" si="350"/>
        <v>310.43337465529896</v>
      </c>
      <c r="AF239" s="546">
        <f t="shared" si="351"/>
        <v>2.8524639175257726E-2</v>
      </c>
      <c r="AH239" s="179">
        <f t="shared" si="352"/>
        <v>0.37541466435498488</v>
      </c>
      <c r="AI239" s="179">
        <f t="shared" si="353"/>
        <v>0.37541466435498488</v>
      </c>
      <c r="AJ239" s="179">
        <f t="shared" si="354"/>
        <v>1.177390499803028</v>
      </c>
      <c r="AL239" s="563">
        <f t="shared" si="355"/>
        <v>25.3</v>
      </c>
      <c r="AM239" s="472">
        <f t="shared" si="356"/>
        <v>310.43337465529896</v>
      </c>
      <c r="AO239">
        <f t="shared" si="357"/>
        <v>25.3</v>
      </c>
      <c r="AP239">
        <f t="shared" si="358"/>
        <v>310.43337465529896</v>
      </c>
      <c r="AR239" s="6">
        <f t="shared" si="322"/>
        <v>3.2213031253820135</v>
      </c>
      <c r="AS239" s="6">
        <f t="shared" si="313"/>
        <v>1.1762992816456193</v>
      </c>
      <c r="AT239" s="6">
        <f t="shared" si="314"/>
        <v>2.045003843736394</v>
      </c>
      <c r="AU239" s="179">
        <f t="shared" si="315"/>
        <v>0.36516255560585353</v>
      </c>
      <c r="CD239" s="581">
        <f t="shared" si="359"/>
        <v>-50</v>
      </c>
    </row>
    <row r="240" spans="5:82" x14ac:dyDescent="0.2">
      <c r="E240" s="176">
        <v>24</v>
      </c>
      <c r="F240" s="223">
        <f t="shared" si="360"/>
        <v>2.64E-2</v>
      </c>
      <c r="G240" s="223">
        <f t="shared" si="329"/>
        <v>4.8000000000000001E-2</v>
      </c>
      <c r="H240" s="223">
        <f t="shared" si="330"/>
        <v>0.63359999999999994</v>
      </c>
      <c r="I240" s="223">
        <f t="shared" si="331"/>
        <v>0.57600000000000007</v>
      </c>
      <c r="J240" s="559">
        <f t="shared" si="332"/>
        <v>15</v>
      </c>
      <c r="K240" s="454">
        <f t="shared" si="333"/>
        <v>24.25</v>
      </c>
      <c r="L240" s="454">
        <f t="shared" si="334"/>
        <v>39.25</v>
      </c>
      <c r="M240" s="454"/>
      <c r="N240" s="223">
        <f t="shared" si="335"/>
        <v>0.61783439490445857</v>
      </c>
      <c r="O240" s="178">
        <f t="shared" si="336"/>
        <v>3.3434770245677887</v>
      </c>
      <c r="P240" s="178">
        <f t="shared" si="337"/>
        <v>5.8027287203242626</v>
      </c>
      <c r="Q240" s="223">
        <f t="shared" si="338"/>
        <v>0.13931154269032453</v>
      </c>
      <c r="R240" s="223">
        <f t="shared" si="339"/>
        <v>0.27862308538064906</v>
      </c>
      <c r="S240" s="223">
        <f t="shared" si="340"/>
        <v>24</v>
      </c>
      <c r="T240" s="223">
        <f t="shared" si="341"/>
        <v>0.27477981551817693</v>
      </c>
      <c r="U240" s="223">
        <f t="shared" si="342"/>
        <v>0.86097675529028772</v>
      </c>
      <c r="V240" s="223">
        <f t="shared" si="343"/>
        <v>0.53256294141667282</v>
      </c>
      <c r="W240" s="203">
        <f t="shared" si="344"/>
        <v>350</v>
      </c>
      <c r="X240" s="454">
        <f t="shared" si="345"/>
        <v>350</v>
      </c>
      <c r="Z240" s="223">
        <f t="shared" si="346"/>
        <v>0.56337482818035733</v>
      </c>
      <c r="AA240" s="179">
        <f t="shared" si="347"/>
        <v>1.0919017288444037</v>
      </c>
      <c r="AB240" s="179">
        <f t="shared" si="348"/>
        <v>5.6388745313775496E-2</v>
      </c>
      <c r="AC240" s="179"/>
      <c r="AD240" s="179">
        <f t="shared" si="349"/>
        <v>0.56206185567010303</v>
      </c>
      <c r="AE240" s="563">
        <f t="shared" si="350"/>
        <v>323.93047790118158</v>
      </c>
      <c r="AF240" s="546">
        <f t="shared" si="351"/>
        <v>2.8524639175257726E-2</v>
      </c>
      <c r="AH240" s="179">
        <f t="shared" si="352"/>
        <v>0.38348902172974136</v>
      </c>
      <c r="AI240" s="179">
        <f t="shared" si="353"/>
        <v>0.38348902172974136</v>
      </c>
      <c r="AJ240" s="179">
        <f t="shared" si="354"/>
        <v>1.1851031302292467</v>
      </c>
      <c r="AL240" s="563">
        <f t="shared" si="355"/>
        <v>26.4</v>
      </c>
      <c r="AM240" s="472">
        <f t="shared" si="356"/>
        <v>323.93047790118158</v>
      </c>
      <c r="AO240">
        <f t="shared" si="357"/>
        <v>26.4</v>
      </c>
      <c r="AP240">
        <f t="shared" si="358"/>
        <v>323.93047790118158</v>
      </c>
      <c r="AR240" s="6">
        <f t="shared" si="322"/>
        <v>3.0870821618244291</v>
      </c>
      <c r="AS240" s="6">
        <f t="shared" si="313"/>
        <v>1.2015989347531895</v>
      </c>
      <c r="AT240" s="6">
        <f t="shared" si="314"/>
        <v>1.8854832270712396</v>
      </c>
      <c r="AU240" s="179">
        <f t="shared" si="315"/>
        <v>0.38923451718015134</v>
      </c>
      <c r="CD240" s="581">
        <f t="shared" si="359"/>
        <v>-50</v>
      </c>
    </row>
    <row r="241" spans="5:82" x14ac:dyDescent="0.2">
      <c r="E241" s="176">
        <v>25</v>
      </c>
      <c r="F241" s="223">
        <f t="shared" si="360"/>
        <v>2.75E-2</v>
      </c>
      <c r="G241" s="223">
        <f t="shared" si="329"/>
        <v>0.05</v>
      </c>
      <c r="H241" s="223">
        <f t="shared" si="330"/>
        <v>0.66</v>
      </c>
      <c r="I241" s="223">
        <f t="shared" si="331"/>
        <v>0.60000000000000009</v>
      </c>
      <c r="J241" s="559">
        <f t="shared" si="332"/>
        <v>15</v>
      </c>
      <c r="K241" s="454">
        <f t="shared" si="333"/>
        <v>24.25</v>
      </c>
      <c r="L241" s="454">
        <f t="shared" si="334"/>
        <v>39.25</v>
      </c>
      <c r="M241" s="454"/>
      <c r="N241" s="223">
        <f t="shared" si="335"/>
        <v>0.61783439490445857</v>
      </c>
      <c r="O241" s="178">
        <f t="shared" si="336"/>
        <v>3.3434770245677887</v>
      </c>
      <c r="P241" s="178">
        <f t="shared" si="337"/>
        <v>5.8027287203242626</v>
      </c>
      <c r="Q241" s="223">
        <f t="shared" si="338"/>
        <v>0.13931154269032453</v>
      </c>
      <c r="R241" s="223">
        <f t="shared" si="339"/>
        <v>0.27862308538064906</v>
      </c>
      <c r="S241" s="223">
        <f t="shared" si="340"/>
        <v>24</v>
      </c>
      <c r="T241" s="223">
        <f t="shared" si="341"/>
        <v>0.28622897449810103</v>
      </c>
      <c r="U241" s="223">
        <f t="shared" si="342"/>
        <v>0.8968507867607165</v>
      </c>
      <c r="V241" s="223">
        <f t="shared" si="343"/>
        <v>0.5547530639757009</v>
      </c>
      <c r="W241" s="203">
        <f t="shared" si="344"/>
        <v>350</v>
      </c>
      <c r="X241" s="454">
        <f t="shared" si="345"/>
        <v>350</v>
      </c>
      <c r="Z241" s="223">
        <f t="shared" si="346"/>
        <v>0.56337482818035733</v>
      </c>
      <c r="AA241" s="179">
        <f t="shared" si="347"/>
        <v>1.0919017288444037</v>
      </c>
      <c r="AB241" s="179">
        <f t="shared" si="348"/>
        <v>5.6388745313775496E-2</v>
      </c>
      <c r="AC241" s="179"/>
      <c r="AD241" s="179">
        <f t="shared" si="349"/>
        <v>0.56206185567010303</v>
      </c>
      <c r="AE241" s="563">
        <f t="shared" si="350"/>
        <v>337.42758114706413</v>
      </c>
      <c r="AF241" s="546">
        <f t="shared" si="351"/>
        <v>2.8524639175257726E-2</v>
      </c>
      <c r="AH241" s="179">
        <f t="shared" si="352"/>
        <v>0.39139684383206536</v>
      </c>
      <c r="AI241" s="179">
        <f t="shared" si="353"/>
        <v>0.39139684383206536</v>
      </c>
      <c r="AJ241" s="179">
        <f t="shared" si="354"/>
        <v>1.1928157606554652</v>
      </c>
      <c r="AL241" s="563">
        <f t="shared" si="355"/>
        <v>27.5</v>
      </c>
      <c r="AM241" s="472">
        <f t="shared" si="356"/>
        <v>337.42758114706413</v>
      </c>
      <c r="AO241">
        <f t="shared" si="357"/>
        <v>27.5</v>
      </c>
      <c r="AP241">
        <f t="shared" si="358"/>
        <v>337.42758114706413</v>
      </c>
      <c r="AR241" s="6">
        <f t="shared" si="322"/>
        <v>2.9635988753514519</v>
      </c>
      <c r="AS241" s="6">
        <f t="shared" si="313"/>
        <v>1.2263767773404715</v>
      </c>
      <c r="AT241" s="6">
        <f t="shared" si="314"/>
        <v>1.7372220980109805</v>
      </c>
      <c r="AU241" s="179">
        <f t="shared" si="315"/>
        <v>0.41381334955292692</v>
      </c>
      <c r="CD241" s="581">
        <f t="shared" si="359"/>
        <v>-50</v>
      </c>
    </row>
    <row r="242" spans="5:82" x14ac:dyDescent="0.2">
      <c r="E242" s="176">
        <v>26</v>
      </c>
      <c r="F242" s="223">
        <f t="shared" si="360"/>
        <v>2.86E-2</v>
      </c>
      <c r="G242" s="223">
        <f t="shared" si="329"/>
        <v>5.2000000000000005E-2</v>
      </c>
      <c r="H242" s="223">
        <f t="shared" si="330"/>
        <v>0.68640000000000001</v>
      </c>
      <c r="I242" s="223">
        <f t="shared" si="331"/>
        <v>0.62400000000000011</v>
      </c>
      <c r="J242" s="559">
        <f t="shared" si="332"/>
        <v>15</v>
      </c>
      <c r="K242" s="454">
        <f t="shared" si="333"/>
        <v>24.25</v>
      </c>
      <c r="L242" s="454">
        <f t="shared" si="334"/>
        <v>39.25</v>
      </c>
      <c r="M242" s="454"/>
      <c r="N242" s="223">
        <f t="shared" si="335"/>
        <v>0.61783439490445857</v>
      </c>
      <c r="O242" s="178">
        <f t="shared" si="336"/>
        <v>3.3434770245677887</v>
      </c>
      <c r="P242" s="178">
        <f t="shared" si="337"/>
        <v>5.8027287203242626</v>
      </c>
      <c r="Q242" s="223">
        <f t="shared" si="338"/>
        <v>0.13931154269032453</v>
      </c>
      <c r="R242" s="223">
        <f t="shared" si="339"/>
        <v>0.27862308538064906</v>
      </c>
      <c r="S242" s="223">
        <f t="shared" si="340"/>
        <v>24</v>
      </c>
      <c r="T242" s="223">
        <f t="shared" si="341"/>
        <v>0.29767813347802502</v>
      </c>
      <c r="U242" s="223">
        <f t="shared" si="342"/>
        <v>0.93272481823114506</v>
      </c>
      <c r="V242" s="223">
        <f t="shared" si="343"/>
        <v>0.57694318653472898</v>
      </c>
      <c r="W242" s="203">
        <f t="shared" si="344"/>
        <v>350</v>
      </c>
      <c r="X242" s="454">
        <f t="shared" si="345"/>
        <v>350</v>
      </c>
      <c r="Z242" s="223">
        <f t="shared" si="346"/>
        <v>0.56337482818035733</v>
      </c>
      <c r="AA242" s="179">
        <f t="shared" si="347"/>
        <v>1.0919017288444037</v>
      </c>
      <c r="AB242" s="179">
        <f t="shared" si="348"/>
        <v>5.6388745313775496E-2</v>
      </c>
      <c r="AC242" s="179"/>
      <c r="AD242" s="179">
        <f t="shared" si="349"/>
        <v>0.56206185567010303</v>
      </c>
      <c r="AE242" s="563">
        <f t="shared" si="350"/>
        <v>350.92468439294663</v>
      </c>
      <c r="AF242" s="546">
        <f t="shared" si="351"/>
        <v>2.8524639175257726E-2</v>
      </c>
      <c r="AH242" s="179">
        <f t="shared" si="352"/>
        <v>0.39914802885166578</v>
      </c>
      <c r="AI242" s="179">
        <f t="shared" si="353"/>
        <v>0.39914802885166578</v>
      </c>
      <c r="AJ242" s="179">
        <f t="shared" si="354"/>
        <v>1.2808503917419747</v>
      </c>
      <c r="AL242" s="563">
        <f t="shared" si="355"/>
        <v>28.6</v>
      </c>
      <c r="AM242" s="472">
        <f t="shared" si="356"/>
        <v>350</v>
      </c>
      <c r="AO242">
        <f t="shared" si="357"/>
        <v>28.6</v>
      </c>
      <c r="AP242">
        <f t="shared" si="358"/>
        <v>350</v>
      </c>
      <c r="AR242" s="6">
        <f t="shared" si="322"/>
        <v>2.8571428571428572</v>
      </c>
      <c r="AS242" s="6">
        <f t="shared" si="313"/>
        <v>1.2506638237352192</v>
      </c>
      <c r="AT242" s="6">
        <f t="shared" si="314"/>
        <v>1.606479033407638</v>
      </c>
      <c r="AU242" s="179">
        <f t="shared" si="315"/>
        <v>0.43773233830732672</v>
      </c>
      <c r="CD242" s="581">
        <f t="shared" si="359"/>
        <v>-50</v>
      </c>
    </row>
    <row r="243" spans="5:82" x14ac:dyDescent="0.2">
      <c r="E243" s="176">
        <v>27</v>
      </c>
      <c r="F243" s="223">
        <f t="shared" si="360"/>
        <v>2.9700000000000001E-2</v>
      </c>
      <c r="G243" s="223">
        <f t="shared" si="329"/>
        <v>5.4000000000000006E-2</v>
      </c>
      <c r="H243" s="223">
        <f t="shared" si="330"/>
        <v>0.71279999999999999</v>
      </c>
      <c r="I243" s="223">
        <f t="shared" si="331"/>
        <v>0.64800000000000013</v>
      </c>
      <c r="J243" s="559">
        <f t="shared" si="332"/>
        <v>15</v>
      </c>
      <c r="K243" s="454">
        <f t="shared" si="333"/>
        <v>24.25</v>
      </c>
      <c r="L243" s="454">
        <f t="shared" si="334"/>
        <v>39.25</v>
      </c>
      <c r="M243" s="454"/>
      <c r="N243" s="223">
        <f t="shared" si="335"/>
        <v>0.61783439490445857</v>
      </c>
      <c r="O243" s="178">
        <f t="shared" si="336"/>
        <v>3.3434770245677887</v>
      </c>
      <c r="P243" s="178">
        <f t="shared" si="337"/>
        <v>5.8027287203242626</v>
      </c>
      <c r="Q243" s="223">
        <f t="shared" si="338"/>
        <v>0.13931154269032453</v>
      </c>
      <c r="R243" s="223">
        <f t="shared" si="339"/>
        <v>0.27862308538064906</v>
      </c>
      <c r="S243" s="223">
        <f t="shared" si="340"/>
        <v>24</v>
      </c>
      <c r="T243" s="223">
        <f t="shared" si="341"/>
        <v>0.30912729245794907</v>
      </c>
      <c r="U243" s="223">
        <f t="shared" si="342"/>
        <v>0.96859884970157373</v>
      </c>
      <c r="V243" s="223">
        <f t="shared" si="343"/>
        <v>0.59913330909375695</v>
      </c>
      <c r="W243" s="203">
        <f t="shared" si="344"/>
        <v>350</v>
      </c>
      <c r="X243" s="454">
        <f t="shared" si="345"/>
        <v>350</v>
      </c>
      <c r="Z243" s="223">
        <f t="shared" si="346"/>
        <v>0.56337482818035733</v>
      </c>
      <c r="AA243" s="179">
        <f t="shared" si="347"/>
        <v>1.0919017288444037</v>
      </c>
      <c r="AB243" s="179">
        <f t="shared" si="348"/>
        <v>5.6388745313775496E-2</v>
      </c>
      <c r="AC243" s="179"/>
      <c r="AD243" s="179">
        <f t="shared" si="349"/>
        <v>0.56206185567010303</v>
      </c>
      <c r="AE243" s="563">
        <f t="shared" si="350"/>
        <v>364.42178763882924</v>
      </c>
      <c r="AF243" s="546">
        <f t="shared" si="351"/>
        <v>2.8524639175257726E-2</v>
      </c>
      <c r="AH243" s="179">
        <f t="shared" si="352"/>
        <v>0.40675153166354316</v>
      </c>
      <c r="AI243" s="179">
        <f t="shared" si="353"/>
        <v>0.40675153166354316</v>
      </c>
      <c r="AJ243" s="179">
        <f t="shared" si="354"/>
        <v>1.286482616047069</v>
      </c>
      <c r="AL243" s="563">
        <f t="shared" si="355"/>
        <v>29.7</v>
      </c>
      <c r="AM243" s="472">
        <f t="shared" si="356"/>
        <v>350</v>
      </c>
      <c r="AO243">
        <f t="shared" si="357"/>
        <v>29.7</v>
      </c>
      <c r="AP243">
        <f t="shared" si="358"/>
        <v>350</v>
      </c>
      <c r="AR243" s="6">
        <f t="shared" si="322"/>
        <v>2.8571428571428572</v>
      </c>
      <c r="AS243" s="6">
        <f t="shared" ref="AS243:AS306" si="361">L*AI243/J243*1000000</f>
        <v>1.2744881325457684</v>
      </c>
      <c r="AT243" s="6">
        <f t="shared" ref="AT243:AT306" si="362">AR243-AS243</f>
        <v>1.5826547245970888</v>
      </c>
      <c r="AU243" s="179">
        <f t="shared" ref="AU243:AU306" si="363">AS243/AR243</f>
        <v>0.44607084639101896</v>
      </c>
      <c r="CD243" s="581">
        <f t="shared" si="359"/>
        <v>-50</v>
      </c>
    </row>
    <row r="244" spans="5:82" x14ac:dyDescent="0.2">
      <c r="E244" s="176">
        <v>28</v>
      </c>
      <c r="F244" s="223">
        <f t="shared" si="360"/>
        <v>3.0800000000000004E-2</v>
      </c>
      <c r="G244" s="223">
        <f t="shared" si="329"/>
        <v>5.6000000000000008E-2</v>
      </c>
      <c r="H244" s="223">
        <f t="shared" si="330"/>
        <v>0.73920000000000008</v>
      </c>
      <c r="I244" s="223">
        <f t="shared" si="331"/>
        <v>0.67200000000000015</v>
      </c>
      <c r="J244" s="559">
        <f t="shared" si="332"/>
        <v>15</v>
      </c>
      <c r="K244" s="454">
        <f t="shared" si="333"/>
        <v>24.25</v>
      </c>
      <c r="L244" s="454">
        <f t="shared" si="334"/>
        <v>39.25</v>
      </c>
      <c r="M244" s="454"/>
      <c r="N244" s="223">
        <f t="shared" si="335"/>
        <v>0.61783439490445857</v>
      </c>
      <c r="O244" s="178">
        <f t="shared" si="336"/>
        <v>3.3434770245677887</v>
      </c>
      <c r="P244" s="178">
        <f t="shared" si="337"/>
        <v>5.8027287203242626</v>
      </c>
      <c r="Q244" s="223">
        <f t="shared" si="338"/>
        <v>0.13931154269032453</v>
      </c>
      <c r="R244" s="223">
        <f t="shared" si="339"/>
        <v>0.27862308538064906</v>
      </c>
      <c r="S244" s="223">
        <f t="shared" si="340"/>
        <v>24</v>
      </c>
      <c r="T244" s="223">
        <f t="shared" si="341"/>
        <v>0.32057645143787311</v>
      </c>
      <c r="U244" s="223">
        <f t="shared" si="342"/>
        <v>1.0044728811720023</v>
      </c>
      <c r="V244" s="223">
        <f t="shared" si="343"/>
        <v>0.62132343165278492</v>
      </c>
      <c r="W244" s="203">
        <f t="shared" si="344"/>
        <v>350</v>
      </c>
      <c r="X244" s="454">
        <f t="shared" si="345"/>
        <v>350</v>
      </c>
      <c r="Z244" s="223">
        <f t="shared" si="346"/>
        <v>0.56337482818035733</v>
      </c>
      <c r="AA244" s="179">
        <f t="shared" si="347"/>
        <v>1.0919017288444037</v>
      </c>
      <c r="AB244" s="179">
        <f t="shared" si="348"/>
        <v>5.6388745313775496E-2</v>
      </c>
      <c r="AC244" s="179"/>
      <c r="AD244" s="179">
        <f t="shared" si="349"/>
        <v>0.56206185567010303</v>
      </c>
      <c r="AE244" s="563">
        <f t="shared" si="350"/>
        <v>377.91889088471186</v>
      </c>
      <c r="AF244" s="546">
        <f t="shared" si="351"/>
        <v>2.8524639175257726E-2</v>
      </c>
      <c r="AH244" s="179">
        <f t="shared" si="352"/>
        <v>0.41421548508609191</v>
      </c>
      <c r="AI244" s="179">
        <f t="shared" si="353"/>
        <v>0.41421548508609191</v>
      </c>
      <c r="AJ244" s="179">
        <f t="shared" si="354"/>
        <v>1.2920114704341421</v>
      </c>
      <c r="AL244" s="563">
        <f t="shared" si="355"/>
        <v>30.800000000000004</v>
      </c>
      <c r="AM244" s="472">
        <f t="shared" si="356"/>
        <v>350</v>
      </c>
      <c r="AO244">
        <f t="shared" si="357"/>
        <v>30.800000000000004</v>
      </c>
      <c r="AP244">
        <f t="shared" si="358"/>
        <v>350</v>
      </c>
      <c r="AR244" s="6">
        <f t="shared" si="322"/>
        <v>2.8571428571428572</v>
      </c>
      <c r="AS244" s="6">
        <f t="shared" si="361"/>
        <v>1.297875186603088</v>
      </c>
      <c r="AT244" s="6">
        <f t="shared" si="362"/>
        <v>1.5592676705397692</v>
      </c>
      <c r="AU244" s="179">
        <f t="shared" si="363"/>
        <v>0.45425631531108079</v>
      </c>
      <c r="CD244" s="581">
        <f t="shared" si="359"/>
        <v>-50</v>
      </c>
    </row>
    <row r="245" spans="5:82" x14ac:dyDescent="0.2">
      <c r="E245" s="176">
        <v>29</v>
      </c>
      <c r="F245" s="223">
        <f t="shared" si="360"/>
        <v>3.1899999999999998E-2</v>
      </c>
      <c r="G245" s="223">
        <f t="shared" si="329"/>
        <v>5.7999999999999996E-2</v>
      </c>
      <c r="H245" s="223">
        <f t="shared" si="330"/>
        <v>0.76559999999999995</v>
      </c>
      <c r="I245" s="223">
        <f t="shared" si="331"/>
        <v>0.69599999999999995</v>
      </c>
      <c r="J245" s="559">
        <f t="shared" si="332"/>
        <v>15</v>
      </c>
      <c r="K245" s="454">
        <f t="shared" si="333"/>
        <v>24.25</v>
      </c>
      <c r="L245" s="454">
        <f t="shared" si="334"/>
        <v>39.25</v>
      </c>
      <c r="M245" s="454"/>
      <c r="N245" s="223">
        <f t="shared" si="335"/>
        <v>0.61783439490445857</v>
      </c>
      <c r="O245" s="178">
        <f t="shared" si="336"/>
        <v>3.3434770245677887</v>
      </c>
      <c r="P245" s="178">
        <f t="shared" si="337"/>
        <v>5.8027287203242626</v>
      </c>
      <c r="Q245" s="223">
        <f t="shared" si="338"/>
        <v>0.13931154269032453</v>
      </c>
      <c r="R245" s="223">
        <f t="shared" si="339"/>
        <v>0.27862308538064906</v>
      </c>
      <c r="S245" s="223">
        <f t="shared" si="340"/>
        <v>24</v>
      </c>
      <c r="T245" s="223">
        <f t="shared" si="341"/>
        <v>0.33202561041779705</v>
      </c>
      <c r="U245" s="223">
        <f t="shared" si="342"/>
        <v>1.0403469126424307</v>
      </c>
      <c r="V245" s="223">
        <f t="shared" si="343"/>
        <v>0.64351355421181289</v>
      </c>
      <c r="W245" s="203">
        <f t="shared" si="344"/>
        <v>350</v>
      </c>
      <c r="X245" s="454">
        <f t="shared" si="345"/>
        <v>350</v>
      </c>
      <c r="Z245" s="223">
        <f t="shared" si="346"/>
        <v>0.56337482818035733</v>
      </c>
      <c r="AA245" s="179">
        <f t="shared" si="347"/>
        <v>1.0919017288444037</v>
      </c>
      <c r="AB245" s="179">
        <f t="shared" si="348"/>
        <v>5.6388745313775496E-2</v>
      </c>
      <c r="AC245" s="179"/>
      <c r="AD245" s="179">
        <f t="shared" si="349"/>
        <v>0.56206185567010303</v>
      </c>
      <c r="AE245" s="563">
        <f t="shared" si="350"/>
        <v>391.4159941305943</v>
      </c>
      <c r="AF245" s="546">
        <f t="shared" si="351"/>
        <v>2.8524639175257726E-2</v>
      </c>
      <c r="AH245" s="179">
        <f t="shared" si="352"/>
        <v>0.42154730180559147</v>
      </c>
      <c r="AI245" s="179">
        <f t="shared" si="353"/>
        <v>0.42154730180559147</v>
      </c>
      <c r="AJ245" s="179">
        <f t="shared" si="354"/>
        <v>1.2974424457819196</v>
      </c>
      <c r="AL245" s="563">
        <f t="shared" si="355"/>
        <v>31.9</v>
      </c>
      <c r="AM245" s="472">
        <f t="shared" si="356"/>
        <v>350</v>
      </c>
      <c r="AO245">
        <f t="shared" si="357"/>
        <v>31.9</v>
      </c>
      <c r="AP245">
        <f t="shared" si="358"/>
        <v>350</v>
      </c>
      <c r="AR245" s="6">
        <f t="shared" si="322"/>
        <v>2.8571428571428572</v>
      </c>
      <c r="AS245" s="6">
        <f t="shared" si="361"/>
        <v>1.3208482123241865</v>
      </c>
      <c r="AT245" s="6">
        <f t="shared" si="362"/>
        <v>1.5362946448186707</v>
      </c>
      <c r="AU245" s="179">
        <f t="shared" si="363"/>
        <v>0.46229687431346528</v>
      </c>
      <c r="CD245" s="581">
        <f t="shared" si="359"/>
        <v>-50</v>
      </c>
    </row>
    <row r="246" spans="5:82" x14ac:dyDescent="0.2">
      <c r="E246" s="176">
        <v>30</v>
      </c>
      <c r="F246" s="223">
        <f t="shared" si="360"/>
        <v>3.3000000000000002E-2</v>
      </c>
      <c r="G246" s="223">
        <f t="shared" si="329"/>
        <v>0.06</v>
      </c>
      <c r="H246" s="223">
        <f t="shared" si="330"/>
        <v>0.79200000000000004</v>
      </c>
      <c r="I246" s="223">
        <f t="shared" si="331"/>
        <v>0.72</v>
      </c>
      <c r="J246" s="559">
        <f t="shared" si="332"/>
        <v>15</v>
      </c>
      <c r="K246" s="454">
        <f t="shared" si="333"/>
        <v>24.25</v>
      </c>
      <c r="L246" s="454">
        <f t="shared" si="334"/>
        <v>39.25</v>
      </c>
      <c r="M246" s="454"/>
      <c r="N246" s="223">
        <f t="shared" si="335"/>
        <v>0.61783439490445857</v>
      </c>
      <c r="O246" s="178">
        <f t="shared" si="336"/>
        <v>3.3434770245677887</v>
      </c>
      <c r="P246" s="178">
        <f t="shared" si="337"/>
        <v>5.8027287203242626</v>
      </c>
      <c r="Q246" s="223">
        <f t="shared" si="338"/>
        <v>0.13931154269032453</v>
      </c>
      <c r="R246" s="223">
        <f t="shared" si="339"/>
        <v>0.27862308538064906</v>
      </c>
      <c r="S246" s="223">
        <f t="shared" si="340"/>
        <v>24</v>
      </c>
      <c r="T246" s="223">
        <f t="shared" si="341"/>
        <v>0.34347476939772115</v>
      </c>
      <c r="U246" s="223">
        <f t="shared" si="342"/>
        <v>1.0762209441128596</v>
      </c>
      <c r="V246" s="223">
        <f t="shared" si="343"/>
        <v>0.66570367677084097</v>
      </c>
      <c r="W246" s="203">
        <f t="shared" si="344"/>
        <v>350</v>
      </c>
      <c r="X246" s="454">
        <f t="shared" si="345"/>
        <v>350</v>
      </c>
      <c r="Z246" s="223">
        <f t="shared" si="346"/>
        <v>0.56337482818035733</v>
      </c>
      <c r="AA246" s="179">
        <f t="shared" si="347"/>
        <v>1.0919017288444037</v>
      </c>
      <c r="AB246" s="179">
        <f t="shared" si="348"/>
        <v>5.6388745313775496E-2</v>
      </c>
      <c r="AC246" s="179"/>
      <c r="AD246" s="179">
        <f t="shared" si="349"/>
        <v>0.56206185567010303</v>
      </c>
      <c r="AE246" s="563">
        <f t="shared" si="350"/>
        <v>404.91309737647686</v>
      </c>
      <c r="AF246" s="546">
        <f t="shared" si="351"/>
        <v>2.8524639175257726E-2</v>
      </c>
      <c r="AH246" s="179">
        <f t="shared" si="352"/>
        <v>0.42875376060629783</v>
      </c>
      <c r="AI246" s="179">
        <f t="shared" si="353"/>
        <v>0.42875376060629783</v>
      </c>
      <c r="AJ246" s="179">
        <f t="shared" si="354"/>
        <v>1.3027805634120724</v>
      </c>
      <c r="AL246" s="563">
        <f t="shared" si="355"/>
        <v>33</v>
      </c>
      <c r="AM246" s="472">
        <f t="shared" si="356"/>
        <v>350</v>
      </c>
      <c r="AO246">
        <f t="shared" si="357"/>
        <v>33</v>
      </c>
      <c r="AP246">
        <f t="shared" si="358"/>
        <v>350</v>
      </c>
      <c r="AR246" s="6">
        <f t="shared" si="322"/>
        <v>2.8571428571428572</v>
      </c>
      <c r="AS246" s="6">
        <f t="shared" si="361"/>
        <v>1.3434284498997331</v>
      </c>
      <c r="AT246" s="6">
        <f t="shared" si="362"/>
        <v>1.5137144072431241</v>
      </c>
      <c r="AU246" s="179">
        <f t="shared" si="363"/>
        <v>0.47019995746490656</v>
      </c>
      <c r="CD246" s="581">
        <f t="shared" si="359"/>
        <v>-50</v>
      </c>
    </row>
    <row r="247" spans="5:82" x14ac:dyDescent="0.2">
      <c r="E247" s="176">
        <v>31</v>
      </c>
      <c r="F247" s="223">
        <f t="shared" si="360"/>
        <v>3.4099999999999998E-2</v>
      </c>
      <c r="G247" s="223">
        <f t="shared" si="329"/>
        <v>6.2E-2</v>
      </c>
      <c r="H247" s="223">
        <f t="shared" si="330"/>
        <v>0.81840000000000002</v>
      </c>
      <c r="I247" s="223">
        <f t="shared" si="331"/>
        <v>0.74399999999999999</v>
      </c>
      <c r="J247" s="559">
        <f t="shared" si="332"/>
        <v>15</v>
      </c>
      <c r="K247" s="454">
        <f t="shared" si="333"/>
        <v>24.25</v>
      </c>
      <c r="L247" s="454">
        <f t="shared" si="334"/>
        <v>39.25</v>
      </c>
      <c r="M247" s="454"/>
      <c r="N247" s="223">
        <f t="shared" si="335"/>
        <v>0.61783439490445857</v>
      </c>
      <c r="O247" s="178">
        <f t="shared" si="336"/>
        <v>3.3434770245677887</v>
      </c>
      <c r="P247" s="178">
        <f t="shared" si="337"/>
        <v>5.8027287203242626</v>
      </c>
      <c r="Q247" s="223">
        <f t="shared" si="338"/>
        <v>0.13931154269032453</v>
      </c>
      <c r="R247" s="223">
        <f t="shared" si="339"/>
        <v>0.27862308538064906</v>
      </c>
      <c r="S247" s="223">
        <f t="shared" si="340"/>
        <v>24</v>
      </c>
      <c r="T247" s="223">
        <f t="shared" si="341"/>
        <v>0.35492392837764519</v>
      </c>
      <c r="U247" s="223">
        <f t="shared" si="342"/>
        <v>1.1120949755832883</v>
      </c>
      <c r="V247" s="223">
        <f t="shared" si="343"/>
        <v>0.68789379932986905</v>
      </c>
      <c r="W247" s="203">
        <f t="shared" si="344"/>
        <v>350</v>
      </c>
      <c r="X247" s="454">
        <f t="shared" si="345"/>
        <v>350</v>
      </c>
      <c r="Z247" s="223">
        <f t="shared" si="346"/>
        <v>0.56337482818035733</v>
      </c>
      <c r="AA247" s="179">
        <f t="shared" si="347"/>
        <v>1.0919017288444037</v>
      </c>
      <c r="AB247" s="179">
        <f t="shared" si="348"/>
        <v>5.6388745313775496E-2</v>
      </c>
      <c r="AC247" s="179"/>
      <c r="AD247" s="179">
        <f t="shared" si="349"/>
        <v>0.56206185567010303</v>
      </c>
      <c r="AE247" s="563">
        <f t="shared" si="350"/>
        <v>418.41020062235947</v>
      </c>
      <c r="AF247" s="546">
        <f t="shared" si="351"/>
        <v>2.8524639175257726E-2</v>
      </c>
      <c r="AH247" s="179">
        <f t="shared" si="352"/>
        <v>0.43584107976246417</v>
      </c>
      <c r="AI247" s="179">
        <f t="shared" si="353"/>
        <v>0.43584107976246417</v>
      </c>
      <c r="AJ247" s="179">
        <f t="shared" si="354"/>
        <v>1.3080304294536771</v>
      </c>
      <c r="AL247" s="563">
        <f t="shared" si="355"/>
        <v>34.1</v>
      </c>
      <c r="AM247" s="472">
        <f t="shared" si="356"/>
        <v>350</v>
      </c>
      <c r="AO247">
        <f t="shared" si="357"/>
        <v>34.1</v>
      </c>
      <c r="AP247">
        <f t="shared" si="358"/>
        <v>350</v>
      </c>
      <c r="AR247" s="6">
        <f t="shared" si="322"/>
        <v>2.8571428571428572</v>
      </c>
      <c r="AS247" s="6">
        <f t="shared" si="361"/>
        <v>1.3656353832557209</v>
      </c>
      <c r="AT247" s="6">
        <f t="shared" si="362"/>
        <v>1.4915074738871363</v>
      </c>
      <c r="AU247" s="179">
        <f t="shared" si="363"/>
        <v>0.47797238413950227</v>
      </c>
      <c r="CD247" s="581">
        <f t="shared" si="359"/>
        <v>-50</v>
      </c>
    </row>
    <row r="248" spans="5:82" x14ac:dyDescent="0.2">
      <c r="E248" s="176">
        <v>32</v>
      </c>
      <c r="F248" s="223">
        <f t="shared" si="360"/>
        <v>3.5200000000000002E-2</v>
      </c>
      <c r="G248" s="223">
        <f t="shared" ref="G248:G279" si="364">IF(PLOT_TYPE=1, E248/100*Iout2, min_I*EXP(Q248*rr/100))</f>
        <v>6.4000000000000001E-2</v>
      </c>
      <c r="H248" s="223">
        <f t="shared" ref="H248:H279" si="365">F248*Vout</f>
        <v>0.8448</v>
      </c>
      <c r="I248" s="223">
        <f t="shared" ref="I248:I279" si="366">Vout2*G248</f>
        <v>0.76800000000000002</v>
      </c>
      <c r="J248" s="559">
        <f t="shared" si="332"/>
        <v>15</v>
      </c>
      <c r="K248" s="454">
        <f t="shared" si="333"/>
        <v>24.25</v>
      </c>
      <c r="L248" s="454">
        <f t="shared" si="334"/>
        <v>39.25</v>
      </c>
      <c r="M248" s="454"/>
      <c r="N248" s="223">
        <f t="shared" si="335"/>
        <v>0.61783439490445857</v>
      </c>
      <c r="O248" s="178">
        <f t="shared" ref="O248:O279" si="367">N248*J248*Isw_max*0.5*Efficiency*Pout/(Pout+Pout2)</f>
        <v>3.3434770245677887</v>
      </c>
      <c r="P248" s="178">
        <f t="shared" ref="P248:P279" si="368">N248*J248*Isw_max*0.5*Efficiency*(Pout2/Pout_total)</f>
        <v>5.8027287203242626</v>
      </c>
      <c r="Q248" s="223">
        <f t="shared" si="338"/>
        <v>0.13931154269032453</v>
      </c>
      <c r="R248" s="223">
        <f t="shared" ref="R248:R279" si="369">O248/Vout2</f>
        <v>0.27862308538064906</v>
      </c>
      <c r="S248" s="223">
        <f t="shared" ref="S248:S279" si="370">MIN(Vout,O248/F248)</f>
        <v>24</v>
      </c>
      <c r="T248" s="223">
        <f t="shared" ref="T248:T279" si="371">MIN(2*(Vout*F248+Vout2*G248)/(Efficiency*J248*N248), Isw_max)</f>
        <v>0.36637308735756924</v>
      </c>
      <c r="U248" s="223">
        <f t="shared" si="342"/>
        <v>1.147969007053717</v>
      </c>
      <c r="V248" s="223">
        <f t="shared" si="343"/>
        <v>0.71008392188889713</v>
      </c>
      <c r="W248" s="203">
        <f t="shared" si="344"/>
        <v>350</v>
      </c>
      <c r="X248" s="454">
        <f t="shared" si="345"/>
        <v>350</v>
      </c>
      <c r="Z248" s="223">
        <f t="shared" si="346"/>
        <v>0.56337482818035733</v>
      </c>
      <c r="AA248" s="179">
        <f t="shared" si="347"/>
        <v>1.0919017288444037</v>
      </c>
      <c r="AB248" s="179">
        <f t="shared" ref="AB248:AB279" si="372">0.5*AA248*Z248*Nps*W248/1000*(Pout/(Pout+Pout2))</f>
        <v>5.6388745313775496E-2</v>
      </c>
      <c r="AC248" s="179"/>
      <c r="AD248" s="179">
        <f t="shared" si="349"/>
        <v>0.56206185567010303</v>
      </c>
      <c r="AE248" s="563">
        <f t="shared" ref="AE248:AE279" si="373">MAX(10, F248/(0.5*AD248/1000000*Isw_min*Nps)/1000*Pout_total/Pout)</f>
        <v>431.90730386824202</v>
      </c>
      <c r="AF248" s="546">
        <f t="shared" ref="AF248:AF279" si="374">0.5*AD248/1000000*Isw_min*Nps*W248*1000*(Pout/Pout_total)</f>
        <v>2.8524639175257726E-2</v>
      </c>
      <c r="AH248" s="179">
        <f t="shared" ref="AH248:AH279" si="375">SQRT((H248+I248)/(0.5*L*Fsw_DCM))</f>
        <v>0.44281497985386487</v>
      </c>
      <c r="AI248" s="179">
        <f t="shared" ref="AI248:AI279" si="376">MAX(IF(F248&gt;AB248,T248,AH248),Isw_min)</f>
        <v>0.44281497985386487</v>
      </c>
      <c r="AJ248" s="179">
        <f t="shared" ref="AJ248:AJ279" si="377">IF(F248&gt;AF248, (AI248-Isw_min)/1.08*0.8+1.2, AE248*0.2/350+1)</f>
        <v>1.3131962813732332</v>
      </c>
      <c r="AL248" s="563">
        <f t="shared" ref="AL248:AL279" si="378">F248*1000</f>
        <v>35.200000000000003</v>
      </c>
      <c r="AM248" s="472">
        <f t="shared" ref="AM248:AM279" si="379">IF(F248&gt;AF248, X248, AE248)</f>
        <v>350</v>
      </c>
      <c r="AO248">
        <f t="shared" si="357"/>
        <v>35.200000000000003</v>
      </c>
      <c r="AP248">
        <f t="shared" si="358"/>
        <v>350</v>
      </c>
      <c r="AR248" s="6">
        <f t="shared" si="322"/>
        <v>2.8571428571428572</v>
      </c>
      <c r="AS248" s="6">
        <f t="shared" si="361"/>
        <v>1.3874869368754432</v>
      </c>
      <c r="AT248" s="6">
        <f t="shared" si="362"/>
        <v>1.469655920267414</v>
      </c>
      <c r="AU248" s="179">
        <f t="shared" si="363"/>
        <v>0.48562042790640514</v>
      </c>
      <c r="CD248" s="581">
        <f t="shared" ref="CD248:CD279" si="380">IF(ABS(F248-Ioutmax_Vinmax)&lt;Iout/200, AM248, -50)</f>
        <v>-50</v>
      </c>
    </row>
    <row r="249" spans="5:82" x14ac:dyDescent="0.2">
      <c r="E249" s="176">
        <v>33</v>
      </c>
      <c r="F249" s="223">
        <f t="shared" ref="F249:F280" si="381">IF(PLOT_TYPE=1, E249/100*Iout_max, min_I*EXP(O249*rr/100))</f>
        <v>3.6299999999999999E-2</v>
      </c>
      <c r="G249" s="223">
        <f t="shared" si="364"/>
        <v>6.6000000000000003E-2</v>
      </c>
      <c r="H249" s="223">
        <f t="shared" si="365"/>
        <v>0.87119999999999997</v>
      </c>
      <c r="I249" s="223">
        <f t="shared" si="366"/>
        <v>0.79200000000000004</v>
      </c>
      <c r="J249" s="559">
        <f t="shared" si="332"/>
        <v>15</v>
      </c>
      <c r="K249" s="454">
        <f t="shared" si="333"/>
        <v>24.25</v>
      </c>
      <c r="L249" s="454">
        <f t="shared" si="334"/>
        <v>39.25</v>
      </c>
      <c r="M249" s="454"/>
      <c r="N249" s="223">
        <f t="shared" si="335"/>
        <v>0.61783439490445857</v>
      </c>
      <c r="O249" s="178">
        <f t="shared" si="367"/>
        <v>3.3434770245677887</v>
      </c>
      <c r="P249" s="178">
        <f t="shared" si="368"/>
        <v>5.8027287203242626</v>
      </c>
      <c r="Q249" s="223">
        <f t="shared" si="338"/>
        <v>0.13931154269032453</v>
      </c>
      <c r="R249" s="223">
        <f t="shared" si="369"/>
        <v>0.27862308538064906</v>
      </c>
      <c r="S249" s="223">
        <f t="shared" si="370"/>
        <v>24</v>
      </c>
      <c r="T249" s="223">
        <f t="shared" si="371"/>
        <v>0.37782224633749328</v>
      </c>
      <c r="U249" s="223">
        <f t="shared" si="342"/>
        <v>1.1838430385241456</v>
      </c>
      <c r="V249" s="223">
        <f t="shared" si="343"/>
        <v>0.7322740444479251</v>
      </c>
      <c r="W249" s="203">
        <f t="shared" si="344"/>
        <v>350</v>
      </c>
      <c r="X249" s="454">
        <f t="shared" si="345"/>
        <v>350</v>
      </c>
      <c r="Z249" s="223">
        <f t="shared" si="346"/>
        <v>0.56337482818035733</v>
      </c>
      <c r="AA249" s="179">
        <f t="shared" si="347"/>
        <v>1.0919017288444037</v>
      </c>
      <c r="AB249" s="179">
        <f t="shared" si="372"/>
        <v>5.6388745313775496E-2</v>
      </c>
      <c r="AC249" s="179"/>
      <c r="AD249" s="179">
        <f t="shared" si="349"/>
        <v>0.56206185567010303</v>
      </c>
      <c r="AE249" s="563">
        <f t="shared" si="373"/>
        <v>445.40440711412464</v>
      </c>
      <c r="AF249" s="546">
        <f t="shared" si="374"/>
        <v>2.8524639175257726E-2</v>
      </c>
      <c r="AH249" s="179">
        <f t="shared" si="375"/>
        <v>0.44968073781011214</v>
      </c>
      <c r="AI249" s="179">
        <f t="shared" si="376"/>
        <v>0.44968073781011214</v>
      </c>
      <c r="AJ249" s="179">
        <f t="shared" si="377"/>
        <v>1.3182820280074905</v>
      </c>
      <c r="AL249" s="563">
        <f t="shared" si="378"/>
        <v>36.299999999999997</v>
      </c>
      <c r="AM249" s="472">
        <f t="shared" si="379"/>
        <v>350</v>
      </c>
      <c r="AO249">
        <f t="shared" si="357"/>
        <v>36.299999999999997</v>
      </c>
      <c r="AP249">
        <f t="shared" si="358"/>
        <v>350</v>
      </c>
      <c r="AR249" s="6">
        <f t="shared" si="322"/>
        <v>2.8571428571428572</v>
      </c>
      <c r="AS249" s="6">
        <f t="shared" si="361"/>
        <v>1.4089996451383513</v>
      </c>
      <c r="AT249" s="6">
        <f t="shared" si="362"/>
        <v>1.4481432120045059</v>
      </c>
      <c r="AU249" s="179">
        <f t="shared" si="363"/>
        <v>0.49314987579842295</v>
      </c>
      <c r="CD249" s="581">
        <f t="shared" si="380"/>
        <v>-50</v>
      </c>
    </row>
    <row r="250" spans="5:82" x14ac:dyDescent="0.2">
      <c r="E250" s="176">
        <v>34</v>
      </c>
      <c r="F250" s="223">
        <f t="shared" si="381"/>
        <v>3.7400000000000003E-2</v>
      </c>
      <c r="G250" s="223">
        <f t="shared" si="364"/>
        <v>6.8000000000000005E-2</v>
      </c>
      <c r="H250" s="223">
        <f t="shared" si="365"/>
        <v>0.89760000000000006</v>
      </c>
      <c r="I250" s="223">
        <f t="shared" si="366"/>
        <v>0.81600000000000006</v>
      </c>
      <c r="J250" s="559">
        <f t="shared" si="332"/>
        <v>15</v>
      </c>
      <c r="K250" s="454">
        <f t="shared" si="333"/>
        <v>24.25</v>
      </c>
      <c r="L250" s="454">
        <f t="shared" si="334"/>
        <v>39.25</v>
      </c>
      <c r="M250" s="454"/>
      <c r="N250" s="223">
        <f t="shared" si="335"/>
        <v>0.61783439490445857</v>
      </c>
      <c r="O250" s="178">
        <f t="shared" si="367"/>
        <v>3.3434770245677887</v>
      </c>
      <c r="P250" s="178">
        <f t="shared" si="368"/>
        <v>5.8027287203242626</v>
      </c>
      <c r="Q250" s="223">
        <f t="shared" si="338"/>
        <v>0.13931154269032453</v>
      </c>
      <c r="R250" s="223">
        <f t="shared" si="369"/>
        <v>0.27862308538064906</v>
      </c>
      <c r="S250" s="223">
        <f t="shared" si="370"/>
        <v>24</v>
      </c>
      <c r="T250" s="223">
        <f t="shared" si="371"/>
        <v>0.38927140531741733</v>
      </c>
      <c r="U250" s="223">
        <f t="shared" si="342"/>
        <v>1.2197170699945743</v>
      </c>
      <c r="V250" s="223">
        <f t="shared" si="343"/>
        <v>0.75446416700695318</v>
      </c>
      <c r="W250" s="203">
        <f t="shared" si="344"/>
        <v>350</v>
      </c>
      <c r="X250" s="454">
        <f t="shared" si="345"/>
        <v>350</v>
      </c>
      <c r="Z250" s="223">
        <f t="shared" si="346"/>
        <v>0.56337482818035733</v>
      </c>
      <c r="AA250" s="179">
        <f t="shared" si="347"/>
        <v>1.0919017288444037</v>
      </c>
      <c r="AB250" s="179">
        <f t="shared" si="372"/>
        <v>5.6388745313775496E-2</v>
      </c>
      <c r="AC250" s="179"/>
      <c r="AD250" s="179">
        <f t="shared" si="349"/>
        <v>0.56206185567010303</v>
      </c>
      <c r="AE250" s="563">
        <f t="shared" si="373"/>
        <v>458.90151036000725</v>
      </c>
      <c r="AF250" s="546">
        <f t="shared" si="374"/>
        <v>2.8524639175257726E-2</v>
      </c>
      <c r="AH250" s="179">
        <f t="shared" si="375"/>
        <v>0.4564432336358103</v>
      </c>
      <c r="AI250" s="179">
        <f t="shared" si="376"/>
        <v>0.4564432336358103</v>
      </c>
      <c r="AJ250" s="179">
        <f t="shared" si="377"/>
        <v>1.3232912841746742</v>
      </c>
      <c r="AL250" s="563">
        <f t="shared" si="378"/>
        <v>37.400000000000006</v>
      </c>
      <c r="AM250" s="472">
        <f t="shared" si="379"/>
        <v>350</v>
      </c>
      <c r="AO250">
        <f t="shared" si="357"/>
        <v>37.400000000000006</v>
      </c>
      <c r="AP250">
        <f t="shared" si="358"/>
        <v>350</v>
      </c>
      <c r="AR250" s="6">
        <f t="shared" si="322"/>
        <v>2.8571428571428572</v>
      </c>
      <c r="AS250" s="6">
        <f t="shared" si="361"/>
        <v>1.4301887987255388</v>
      </c>
      <c r="AT250" s="6">
        <f t="shared" si="362"/>
        <v>1.4269540584173184</v>
      </c>
      <c r="AU250" s="179">
        <f t="shared" si="363"/>
        <v>0.50056607955393861</v>
      </c>
      <c r="CD250" s="581">
        <f t="shared" si="380"/>
        <v>-50</v>
      </c>
    </row>
    <row r="251" spans="5:82" x14ac:dyDescent="0.2">
      <c r="E251" s="176">
        <v>35</v>
      </c>
      <c r="F251" s="223">
        <f t="shared" si="381"/>
        <v>3.85E-2</v>
      </c>
      <c r="G251" s="223">
        <f t="shared" si="364"/>
        <v>6.9999999999999993E-2</v>
      </c>
      <c r="H251" s="223">
        <f t="shared" si="365"/>
        <v>0.92399999999999993</v>
      </c>
      <c r="I251" s="223">
        <f t="shared" si="366"/>
        <v>0.83999999999999986</v>
      </c>
      <c r="J251" s="559">
        <f t="shared" si="332"/>
        <v>15</v>
      </c>
      <c r="K251" s="454">
        <f t="shared" si="333"/>
        <v>24.25</v>
      </c>
      <c r="L251" s="454">
        <f t="shared" si="334"/>
        <v>39.25</v>
      </c>
      <c r="M251" s="454"/>
      <c r="N251" s="223">
        <f t="shared" si="335"/>
        <v>0.61783439490445857</v>
      </c>
      <c r="O251" s="178">
        <f t="shared" si="367"/>
        <v>3.3434770245677887</v>
      </c>
      <c r="P251" s="178">
        <f t="shared" si="368"/>
        <v>5.8027287203242626</v>
      </c>
      <c r="Q251" s="223">
        <f t="shared" si="338"/>
        <v>0.13931154269032453</v>
      </c>
      <c r="R251" s="223">
        <f t="shared" si="369"/>
        <v>0.27862308538064906</v>
      </c>
      <c r="S251" s="223">
        <f t="shared" si="370"/>
        <v>24</v>
      </c>
      <c r="T251" s="223">
        <f t="shared" si="371"/>
        <v>0.40072056429734132</v>
      </c>
      <c r="U251" s="223">
        <f t="shared" si="342"/>
        <v>1.2555911014650027</v>
      </c>
      <c r="V251" s="223">
        <f t="shared" si="343"/>
        <v>0.77665428956598104</v>
      </c>
      <c r="W251" s="203">
        <f t="shared" si="344"/>
        <v>350</v>
      </c>
      <c r="X251" s="454">
        <f t="shared" si="345"/>
        <v>350</v>
      </c>
      <c r="Z251" s="223">
        <f t="shared" si="346"/>
        <v>0.56337482818035733</v>
      </c>
      <c r="AA251" s="179">
        <f t="shared" si="347"/>
        <v>1.0919017288444037</v>
      </c>
      <c r="AB251" s="179">
        <f t="shared" si="372"/>
        <v>5.6388745313775496E-2</v>
      </c>
      <c r="AC251" s="179"/>
      <c r="AD251" s="179">
        <f t="shared" si="349"/>
        <v>0.56206185567010303</v>
      </c>
      <c r="AE251" s="563">
        <f t="shared" si="373"/>
        <v>472.39861360588975</v>
      </c>
      <c r="AF251" s="546">
        <f t="shared" si="374"/>
        <v>2.8524639175257726E-2</v>
      </c>
      <c r="AH251" s="179">
        <f t="shared" si="375"/>
        <v>0.46310699099277586</v>
      </c>
      <c r="AI251" s="179">
        <f t="shared" si="376"/>
        <v>0.46310699099277586</v>
      </c>
      <c r="AJ251" s="179">
        <f t="shared" si="377"/>
        <v>1.3282274007353896</v>
      </c>
      <c r="AL251" s="563">
        <f t="shared" si="378"/>
        <v>38.5</v>
      </c>
      <c r="AM251" s="472">
        <f t="shared" si="379"/>
        <v>350</v>
      </c>
      <c r="AO251">
        <f t="shared" si="357"/>
        <v>38.5</v>
      </c>
      <c r="AP251">
        <f t="shared" si="358"/>
        <v>350</v>
      </c>
      <c r="AR251" s="6">
        <f t="shared" si="322"/>
        <v>2.8571428571428572</v>
      </c>
      <c r="AS251" s="6">
        <f t="shared" si="361"/>
        <v>1.4510685717773644</v>
      </c>
      <c r="AT251" s="6">
        <f t="shared" si="362"/>
        <v>1.4060742853654928</v>
      </c>
      <c r="AU251" s="179">
        <f t="shared" si="363"/>
        <v>0.50787400012207751</v>
      </c>
      <c r="CD251" s="581">
        <f t="shared" si="380"/>
        <v>-50</v>
      </c>
    </row>
    <row r="252" spans="5:82" x14ac:dyDescent="0.2">
      <c r="E252" s="176">
        <v>36</v>
      </c>
      <c r="F252" s="223">
        <f t="shared" si="381"/>
        <v>3.9599999999999996E-2</v>
      </c>
      <c r="G252" s="223">
        <f t="shared" si="364"/>
        <v>7.1999999999999995E-2</v>
      </c>
      <c r="H252" s="223">
        <f t="shared" si="365"/>
        <v>0.95039999999999991</v>
      </c>
      <c r="I252" s="223">
        <f t="shared" si="366"/>
        <v>0.86399999999999988</v>
      </c>
      <c r="J252" s="559">
        <f t="shared" si="332"/>
        <v>15</v>
      </c>
      <c r="K252" s="454">
        <f t="shared" si="333"/>
        <v>24.25</v>
      </c>
      <c r="L252" s="454">
        <f t="shared" si="334"/>
        <v>39.25</v>
      </c>
      <c r="M252" s="454"/>
      <c r="N252" s="223">
        <f t="shared" si="335"/>
        <v>0.61783439490445857</v>
      </c>
      <c r="O252" s="178">
        <f t="shared" si="367"/>
        <v>3.3434770245677887</v>
      </c>
      <c r="P252" s="178">
        <f t="shared" si="368"/>
        <v>5.8027287203242626</v>
      </c>
      <c r="Q252" s="223">
        <f t="shared" si="338"/>
        <v>0.13931154269032453</v>
      </c>
      <c r="R252" s="223">
        <f t="shared" si="369"/>
        <v>0.27862308538064906</v>
      </c>
      <c r="S252" s="223">
        <f t="shared" si="370"/>
        <v>24</v>
      </c>
      <c r="T252" s="223">
        <f t="shared" si="371"/>
        <v>0.41216972327726537</v>
      </c>
      <c r="U252" s="223">
        <f t="shared" si="342"/>
        <v>1.2914651329354314</v>
      </c>
      <c r="V252" s="223">
        <f t="shared" si="343"/>
        <v>0.79884441212500912</v>
      </c>
      <c r="W252" s="203">
        <f t="shared" si="344"/>
        <v>350</v>
      </c>
      <c r="X252" s="454">
        <f t="shared" si="345"/>
        <v>350</v>
      </c>
      <c r="Z252" s="223">
        <f t="shared" si="346"/>
        <v>0.56337482818035733</v>
      </c>
      <c r="AA252" s="179">
        <f t="shared" si="347"/>
        <v>1.0919017288444037</v>
      </c>
      <c r="AB252" s="179">
        <f t="shared" si="372"/>
        <v>5.6388745313775496E-2</v>
      </c>
      <c r="AC252" s="179"/>
      <c r="AD252" s="179">
        <f t="shared" si="349"/>
        <v>0.56206185567010303</v>
      </c>
      <c r="AE252" s="563">
        <f t="shared" si="373"/>
        <v>485.89571685177225</v>
      </c>
      <c r="AF252" s="546">
        <f t="shared" si="374"/>
        <v>2.8524639175257726E-2</v>
      </c>
      <c r="AH252" s="179">
        <f t="shared" si="375"/>
        <v>0.46967621259847836</v>
      </c>
      <c r="AI252" s="179">
        <f t="shared" si="376"/>
        <v>0.46967621259847836</v>
      </c>
      <c r="AJ252" s="179">
        <f t="shared" si="377"/>
        <v>1.3330934908136876</v>
      </c>
      <c r="AL252" s="563">
        <f t="shared" si="378"/>
        <v>39.599999999999994</v>
      </c>
      <c r="AM252" s="472">
        <f t="shared" si="379"/>
        <v>350</v>
      </c>
      <c r="AO252">
        <f t="shared" si="357"/>
        <v>39.599999999999994</v>
      </c>
      <c r="AP252">
        <f t="shared" si="358"/>
        <v>350</v>
      </c>
      <c r="AR252" s="6">
        <f t="shared" si="322"/>
        <v>2.8571428571428572</v>
      </c>
      <c r="AS252" s="6">
        <f t="shared" si="361"/>
        <v>1.4716521328085654</v>
      </c>
      <c r="AT252" s="6">
        <f t="shared" si="362"/>
        <v>1.3854907243342918</v>
      </c>
      <c r="AU252" s="179">
        <f t="shared" si="363"/>
        <v>0.51507824648299794</v>
      </c>
      <c r="CD252" s="581">
        <f t="shared" si="380"/>
        <v>-50</v>
      </c>
    </row>
    <row r="253" spans="5:82" x14ac:dyDescent="0.2">
      <c r="E253" s="176">
        <v>37</v>
      </c>
      <c r="F253" s="223">
        <f t="shared" si="381"/>
        <v>4.07E-2</v>
      </c>
      <c r="G253" s="223">
        <f t="shared" si="364"/>
        <v>7.3999999999999996E-2</v>
      </c>
      <c r="H253" s="223">
        <f t="shared" si="365"/>
        <v>0.9768</v>
      </c>
      <c r="I253" s="223">
        <f t="shared" si="366"/>
        <v>0.8879999999999999</v>
      </c>
      <c r="J253" s="559">
        <f t="shared" si="332"/>
        <v>15</v>
      </c>
      <c r="K253" s="454">
        <f t="shared" si="333"/>
        <v>24.25</v>
      </c>
      <c r="L253" s="454">
        <f t="shared" si="334"/>
        <v>39.25</v>
      </c>
      <c r="M253" s="454"/>
      <c r="N253" s="223">
        <f t="shared" si="335"/>
        <v>0.61783439490445857</v>
      </c>
      <c r="O253" s="178">
        <f t="shared" si="367"/>
        <v>3.3434770245677887</v>
      </c>
      <c r="P253" s="178">
        <f t="shared" si="368"/>
        <v>5.8027287203242626</v>
      </c>
      <c r="Q253" s="223">
        <f t="shared" si="338"/>
        <v>0.13931154269032453</v>
      </c>
      <c r="R253" s="223">
        <f t="shared" si="369"/>
        <v>0.27862308538064906</v>
      </c>
      <c r="S253" s="223">
        <f t="shared" si="370"/>
        <v>24</v>
      </c>
      <c r="T253" s="223">
        <f t="shared" si="371"/>
        <v>0.42361888225718936</v>
      </c>
      <c r="U253" s="223">
        <f t="shared" si="342"/>
        <v>1.3273391644058599</v>
      </c>
      <c r="V253" s="223">
        <f t="shared" si="343"/>
        <v>0.82103453468403698</v>
      </c>
      <c r="W253" s="203">
        <f t="shared" si="344"/>
        <v>350</v>
      </c>
      <c r="X253" s="454">
        <f t="shared" si="345"/>
        <v>350</v>
      </c>
      <c r="Z253" s="223">
        <f t="shared" si="346"/>
        <v>0.56337482818035733</v>
      </c>
      <c r="AA253" s="179">
        <f t="shared" si="347"/>
        <v>1.0919017288444037</v>
      </c>
      <c r="AB253" s="179">
        <f t="shared" si="372"/>
        <v>5.6388745313775496E-2</v>
      </c>
      <c r="AC253" s="179"/>
      <c r="AD253" s="179">
        <f t="shared" si="349"/>
        <v>0.56206185567010303</v>
      </c>
      <c r="AE253" s="563">
        <f t="shared" si="373"/>
        <v>499.39282009765492</v>
      </c>
      <c r="AF253" s="546">
        <f t="shared" si="374"/>
        <v>2.8524639175257726E-2</v>
      </c>
      <c r="AH253" s="179">
        <f t="shared" si="375"/>
        <v>0.47615481122773418</v>
      </c>
      <c r="AI253" s="179">
        <f t="shared" si="376"/>
        <v>0.47615481122773418</v>
      </c>
      <c r="AJ253" s="179">
        <f t="shared" si="377"/>
        <v>1.3378924527612845</v>
      </c>
      <c r="AL253" s="563">
        <f t="shared" si="378"/>
        <v>40.700000000000003</v>
      </c>
      <c r="AM253" s="472">
        <f t="shared" si="379"/>
        <v>350</v>
      </c>
      <c r="AO253">
        <f t="shared" si="357"/>
        <v>40.700000000000003</v>
      </c>
      <c r="AP253">
        <f t="shared" si="358"/>
        <v>350</v>
      </c>
      <c r="AR253" s="6">
        <f t="shared" si="322"/>
        <v>2.8571428571428572</v>
      </c>
      <c r="AS253" s="6">
        <f t="shared" si="361"/>
        <v>1.4919517418469002</v>
      </c>
      <c r="AT253" s="6">
        <f t="shared" si="362"/>
        <v>1.365191115295957</v>
      </c>
      <c r="AU253" s="179">
        <f t="shared" si="363"/>
        <v>0.52218310964641501</v>
      </c>
      <c r="CD253" s="581">
        <f t="shared" si="380"/>
        <v>-50</v>
      </c>
    </row>
    <row r="254" spans="5:82" x14ac:dyDescent="0.2">
      <c r="E254" s="176">
        <v>38</v>
      </c>
      <c r="F254" s="223">
        <f t="shared" si="381"/>
        <v>4.1800000000000004E-2</v>
      </c>
      <c r="G254" s="223">
        <f t="shared" si="364"/>
        <v>7.6000000000000012E-2</v>
      </c>
      <c r="H254" s="223">
        <f t="shared" si="365"/>
        <v>1.0032000000000001</v>
      </c>
      <c r="I254" s="223">
        <f t="shared" si="366"/>
        <v>0.91200000000000014</v>
      </c>
      <c r="J254" s="559">
        <f t="shared" si="332"/>
        <v>15</v>
      </c>
      <c r="K254" s="454">
        <f t="shared" si="333"/>
        <v>24.25</v>
      </c>
      <c r="L254" s="454">
        <f t="shared" si="334"/>
        <v>39.25</v>
      </c>
      <c r="M254" s="454"/>
      <c r="N254" s="223">
        <f t="shared" si="335"/>
        <v>0.61783439490445857</v>
      </c>
      <c r="O254" s="178">
        <f t="shared" si="367"/>
        <v>3.3434770245677887</v>
      </c>
      <c r="P254" s="178">
        <f t="shared" si="368"/>
        <v>5.8027287203242626</v>
      </c>
      <c r="Q254" s="223">
        <f t="shared" si="338"/>
        <v>0.13931154269032453</v>
      </c>
      <c r="R254" s="223">
        <f t="shared" si="369"/>
        <v>0.27862308538064906</v>
      </c>
      <c r="S254" s="223">
        <f t="shared" si="370"/>
        <v>24</v>
      </c>
      <c r="T254" s="223">
        <f t="shared" si="371"/>
        <v>0.43506804123711351</v>
      </c>
      <c r="U254" s="223">
        <f t="shared" si="342"/>
        <v>1.363213195876289</v>
      </c>
      <c r="V254" s="223">
        <f t="shared" si="343"/>
        <v>0.84322465724306528</v>
      </c>
      <c r="W254" s="203">
        <f t="shared" si="344"/>
        <v>350</v>
      </c>
      <c r="X254" s="454">
        <f t="shared" si="345"/>
        <v>350</v>
      </c>
      <c r="Z254" s="223">
        <f t="shared" si="346"/>
        <v>0.56337482818035733</v>
      </c>
      <c r="AA254" s="179">
        <f t="shared" si="347"/>
        <v>1.0919017288444037</v>
      </c>
      <c r="AB254" s="179">
        <f t="shared" si="372"/>
        <v>5.6388745313775496E-2</v>
      </c>
      <c r="AC254" s="179"/>
      <c r="AD254" s="179">
        <f t="shared" si="349"/>
        <v>0.56206185567010303</v>
      </c>
      <c r="AE254" s="563">
        <f t="shared" si="373"/>
        <v>512.88992334353748</v>
      </c>
      <c r="AF254" s="546">
        <f t="shared" si="374"/>
        <v>2.8524639175257726E-2</v>
      </c>
      <c r="AH254" s="179">
        <f t="shared" si="375"/>
        <v>0.48254643696724903</v>
      </c>
      <c r="AI254" s="179">
        <f t="shared" si="376"/>
        <v>0.48254643696724903</v>
      </c>
      <c r="AJ254" s="179">
        <f t="shared" si="377"/>
        <v>1.3426269903461103</v>
      </c>
      <c r="AL254" s="563">
        <f t="shared" si="378"/>
        <v>41.800000000000004</v>
      </c>
      <c r="AM254" s="472">
        <f t="shared" si="379"/>
        <v>350</v>
      </c>
      <c r="AO254">
        <f t="shared" si="357"/>
        <v>41.800000000000004</v>
      </c>
      <c r="AP254">
        <f t="shared" si="358"/>
        <v>350</v>
      </c>
      <c r="AR254" s="6">
        <f t="shared" si="322"/>
        <v>2.8571428571428572</v>
      </c>
      <c r="AS254" s="6">
        <f t="shared" si="361"/>
        <v>1.5119788358307136</v>
      </c>
      <c r="AT254" s="6">
        <f t="shared" si="362"/>
        <v>1.3451640213121436</v>
      </c>
      <c r="AU254" s="179">
        <f t="shared" si="363"/>
        <v>0.52919259254074968</v>
      </c>
      <c r="CD254" s="581">
        <f t="shared" si="380"/>
        <v>-50</v>
      </c>
    </row>
    <row r="255" spans="5:82" x14ac:dyDescent="0.2">
      <c r="E255" s="176">
        <v>39</v>
      </c>
      <c r="F255" s="223">
        <f t="shared" si="381"/>
        <v>4.2900000000000001E-2</v>
      </c>
      <c r="G255" s="223">
        <f t="shared" si="364"/>
        <v>7.8000000000000014E-2</v>
      </c>
      <c r="H255" s="223">
        <f t="shared" si="365"/>
        <v>1.0296000000000001</v>
      </c>
      <c r="I255" s="223">
        <f t="shared" si="366"/>
        <v>0.93600000000000017</v>
      </c>
      <c r="J255" s="559">
        <f t="shared" si="332"/>
        <v>15</v>
      </c>
      <c r="K255" s="454">
        <f t="shared" si="333"/>
        <v>24.25</v>
      </c>
      <c r="L255" s="454">
        <f t="shared" si="334"/>
        <v>39.25</v>
      </c>
      <c r="M255" s="454"/>
      <c r="N255" s="223">
        <f t="shared" si="335"/>
        <v>0.61783439490445857</v>
      </c>
      <c r="O255" s="178">
        <f t="shared" si="367"/>
        <v>3.3434770245677887</v>
      </c>
      <c r="P255" s="178">
        <f t="shared" si="368"/>
        <v>5.8027287203242626</v>
      </c>
      <c r="Q255" s="223">
        <f t="shared" si="338"/>
        <v>0.13931154269032453</v>
      </c>
      <c r="R255" s="223">
        <f t="shared" si="369"/>
        <v>0.27862308538064906</v>
      </c>
      <c r="S255" s="223">
        <f t="shared" si="370"/>
        <v>24</v>
      </c>
      <c r="T255" s="223">
        <f t="shared" si="371"/>
        <v>0.44651720021703756</v>
      </c>
      <c r="U255" s="223">
        <f t="shared" si="342"/>
        <v>1.3990872273467176</v>
      </c>
      <c r="V255" s="223">
        <f t="shared" si="343"/>
        <v>0.86541477980209336</v>
      </c>
      <c r="W255" s="203">
        <f t="shared" si="344"/>
        <v>350</v>
      </c>
      <c r="X255" s="454">
        <f t="shared" si="345"/>
        <v>350</v>
      </c>
      <c r="Z255" s="223">
        <f t="shared" si="346"/>
        <v>0.56337482818035733</v>
      </c>
      <c r="AA255" s="179">
        <f t="shared" si="347"/>
        <v>1.0919017288444037</v>
      </c>
      <c r="AB255" s="179">
        <f t="shared" si="372"/>
        <v>5.6388745313775496E-2</v>
      </c>
      <c r="AC255" s="179"/>
      <c r="AD255" s="179">
        <f t="shared" si="349"/>
        <v>0.56206185567010303</v>
      </c>
      <c r="AE255" s="563">
        <f t="shared" si="373"/>
        <v>526.38702658942009</v>
      </c>
      <c r="AF255" s="546">
        <f t="shared" si="374"/>
        <v>2.8524639175257726E-2</v>
      </c>
      <c r="AH255" s="179">
        <f t="shared" si="375"/>
        <v>0.4888545012621397</v>
      </c>
      <c r="AI255" s="179">
        <f t="shared" si="376"/>
        <v>0.4888545012621397</v>
      </c>
      <c r="AJ255" s="179">
        <f t="shared" si="377"/>
        <v>1.3472996305645479</v>
      </c>
      <c r="AL255" s="563">
        <f t="shared" si="378"/>
        <v>42.9</v>
      </c>
      <c r="AM255" s="472">
        <f t="shared" si="379"/>
        <v>350</v>
      </c>
      <c r="AO255">
        <f t="shared" si="357"/>
        <v>42.9</v>
      </c>
      <c r="AP255">
        <f t="shared" si="358"/>
        <v>350</v>
      </c>
      <c r="AR255" s="6">
        <f t="shared" si="322"/>
        <v>2.8571428571428572</v>
      </c>
      <c r="AS255" s="6">
        <f t="shared" si="361"/>
        <v>1.5317441039547042</v>
      </c>
      <c r="AT255" s="6">
        <f t="shared" si="362"/>
        <v>1.325398753188153</v>
      </c>
      <c r="AU255" s="179">
        <f t="shared" si="363"/>
        <v>0.53611043638414646</v>
      </c>
      <c r="CD255" s="581">
        <f t="shared" si="380"/>
        <v>-50</v>
      </c>
    </row>
    <row r="256" spans="5:82" x14ac:dyDescent="0.2">
      <c r="E256" s="176">
        <v>40</v>
      </c>
      <c r="F256" s="223">
        <f t="shared" si="381"/>
        <v>4.4000000000000004E-2</v>
      </c>
      <c r="G256" s="223">
        <f t="shared" si="364"/>
        <v>8.0000000000000016E-2</v>
      </c>
      <c r="H256" s="223">
        <f t="shared" si="365"/>
        <v>1.056</v>
      </c>
      <c r="I256" s="223">
        <f t="shared" si="366"/>
        <v>0.96000000000000019</v>
      </c>
      <c r="J256" s="559">
        <f t="shared" si="332"/>
        <v>15</v>
      </c>
      <c r="K256" s="454">
        <f t="shared" si="333"/>
        <v>24.25</v>
      </c>
      <c r="L256" s="454">
        <f t="shared" si="334"/>
        <v>39.25</v>
      </c>
      <c r="M256" s="454"/>
      <c r="N256" s="223">
        <f t="shared" si="335"/>
        <v>0.61783439490445857</v>
      </c>
      <c r="O256" s="178">
        <f t="shared" si="367"/>
        <v>3.3434770245677887</v>
      </c>
      <c r="P256" s="178">
        <f t="shared" si="368"/>
        <v>5.8027287203242626</v>
      </c>
      <c r="Q256" s="223">
        <f t="shared" si="338"/>
        <v>0.13931154269032453</v>
      </c>
      <c r="R256" s="223">
        <f t="shared" si="369"/>
        <v>0.27862308538064906</v>
      </c>
      <c r="S256" s="223">
        <f t="shared" si="370"/>
        <v>24</v>
      </c>
      <c r="T256" s="223">
        <f t="shared" si="371"/>
        <v>0.45796635919696155</v>
      </c>
      <c r="U256" s="223">
        <f t="shared" si="342"/>
        <v>1.4349612588171461</v>
      </c>
      <c r="V256" s="223">
        <f t="shared" si="343"/>
        <v>0.88760490236112122</v>
      </c>
      <c r="W256" s="203">
        <f t="shared" si="344"/>
        <v>350</v>
      </c>
      <c r="X256" s="454">
        <f t="shared" si="345"/>
        <v>350</v>
      </c>
      <c r="Z256" s="223">
        <f t="shared" si="346"/>
        <v>0.56337482818035733</v>
      </c>
      <c r="AA256" s="179">
        <f t="shared" si="347"/>
        <v>1.0919017288444037</v>
      </c>
      <c r="AB256" s="179">
        <f t="shared" si="372"/>
        <v>5.6388745313775496E-2</v>
      </c>
      <c r="AC256" s="179"/>
      <c r="AD256" s="179">
        <f t="shared" si="349"/>
        <v>0.56206185567010303</v>
      </c>
      <c r="AE256" s="563">
        <f t="shared" si="373"/>
        <v>539.88412983530259</v>
      </c>
      <c r="AF256" s="546">
        <f t="shared" si="374"/>
        <v>2.8524639175257726E-2</v>
      </c>
      <c r="AH256" s="179">
        <f t="shared" si="375"/>
        <v>0.49508219820422084</v>
      </c>
      <c r="AI256" s="179">
        <f t="shared" si="376"/>
        <v>0.49508219820422084</v>
      </c>
      <c r="AJ256" s="179">
        <f t="shared" si="377"/>
        <v>1.3519127394105339</v>
      </c>
      <c r="AL256" s="563">
        <f t="shared" si="378"/>
        <v>44.000000000000007</v>
      </c>
      <c r="AM256" s="472">
        <f t="shared" si="379"/>
        <v>350</v>
      </c>
      <c r="AO256">
        <f t="shared" si="357"/>
        <v>44.000000000000007</v>
      </c>
      <c r="AP256">
        <f t="shared" si="358"/>
        <v>350</v>
      </c>
      <c r="AR256" s="6">
        <f t="shared" si="322"/>
        <v>2.8571428571428572</v>
      </c>
      <c r="AS256" s="6">
        <f t="shared" si="361"/>
        <v>1.551257554373225</v>
      </c>
      <c r="AT256" s="6">
        <f t="shared" si="362"/>
        <v>1.3058853027696322</v>
      </c>
      <c r="AU256" s="179">
        <f t="shared" si="363"/>
        <v>0.54294014403062874</v>
      </c>
      <c r="CD256" s="581">
        <f t="shared" si="380"/>
        <v>-50</v>
      </c>
    </row>
    <row r="257" spans="5:82" x14ac:dyDescent="0.2">
      <c r="E257" s="176">
        <v>41</v>
      </c>
      <c r="F257" s="223">
        <f t="shared" si="381"/>
        <v>4.5099999999999994E-2</v>
      </c>
      <c r="G257" s="223">
        <f t="shared" si="364"/>
        <v>8.2000000000000003E-2</v>
      </c>
      <c r="H257" s="223">
        <f t="shared" si="365"/>
        <v>1.0823999999999998</v>
      </c>
      <c r="I257" s="223">
        <f t="shared" si="366"/>
        <v>0.98399999999999999</v>
      </c>
      <c r="J257" s="559">
        <f t="shared" si="332"/>
        <v>15</v>
      </c>
      <c r="K257" s="454">
        <f t="shared" si="333"/>
        <v>24.25</v>
      </c>
      <c r="L257" s="454">
        <f t="shared" si="334"/>
        <v>39.25</v>
      </c>
      <c r="M257" s="454"/>
      <c r="N257" s="223">
        <f t="shared" si="335"/>
        <v>0.61783439490445857</v>
      </c>
      <c r="O257" s="178">
        <f t="shared" si="367"/>
        <v>3.3434770245677887</v>
      </c>
      <c r="P257" s="178">
        <f t="shared" si="368"/>
        <v>5.8027287203242626</v>
      </c>
      <c r="Q257" s="223">
        <f t="shared" si="338"/>
        <v>0.13931154269032453</v>
      </c>
      <c r="R257" s="223">
        <f t="shared" si="369"/>
        <v>0.27862308538064906</v>
      </c>
      <c r="S257" s="223">
        <f t="shared" si="370"/>
        <v>24</v>
      </c>
      <c r="T257" s="223">
        <f t="shared" si="371"/>
        <v>0.46941551817688554</v>
      </c>
      <c r="U257" s="223">
        <f t="shared" si="342"/>
        <v>1.4708352902875745</v>
      </c>
      <c r="V257" s="223">
        <f t="shared" si="343"/>
        <v>0.90979502492014919</v>
      </c>
      <c r="W257" s="203">
        <f t="shared" si="344"/>
        <v>350</v>
      </c>
      <c r="X257" s="454">
        <f t="shared" si="345"/>
        <v>350</v>
      </c>
      <c r="Z257" s="223">
        <f t="shared" si="346"/>
        <v>0.56337482818035733</v>
      </c>
      <c r="AA257" s="179">
        <f t="shared" si="347"/>
        <v>1.0919017288444037</v>
      </c>
      <c r="AB257" s="179">
        <f t="shared" si="372"/>
        <v>5.6388745313775496E-2</v>
      </c>
      <c r="AC257" s="179"/>
      <c r="AD257" s="179">
        <f t="shared" si="349"/>
        <v>0.56206185567010303</v>
      </c>
      <c r="AE257" s="563">
        <f t="shared" si="373"/>
        <v>553.38123308118497</v>
      </c>
      <c r="AF257" s="546">
        <f t="shared" si="374"/>
        <v>2.8524639175257726E-2</v>
      </c>
      <c r="AH257" s="179">
        <f t="shared" si="375"/>
        <v>0.50123252343916336</v>
      </c>
      <c r="AI257" s="179">
        <f t="shared" si="376"/>
        <v>0.50123252343916336</v>
      </c>
      <c r="AJ257" s="179">
        <f t="shared" si="377"/>
        <v>1.3564685358808617</v>
      </c>
      <c r="AL257" s="563">
        <f t="shared" si="378"/>
        <v>45.099999999999994</v>
      </c>
      <c r="AM257" s="472">
        <f t="shared" si="379"/>
        <v>350</v>
      </c>
      <c r="AO257">
        <f t="shared" si="357"/>
        <v>45.099999999999994</v>
      </c>
      <c r="AP257">
        <f t="shared" si="358"/>
        <v>350</v>
      </c>
      <c r="AR257" s="6">
        <f t="shared" si="322"/>
        <v>2.8571428571428572</v>
      </c>
      <c r="AS257" s="6">
        <f t="shared" si="361"/>
        <v>1.5705285734427117</v>
      </c>
      <c r="AT257" s="6">
        <f t="shared" si="362"/>
        <v>1.2866142837001455</v>
      </c>
      <c r="AU257" s="179">
        <f t="shared" si="363"/>
        <v>0.54968500070494908</v>
      </c>
      <c r="CD257" s="581">
        <f t="shared" si="380"/>
        <v>-50</v>
      </c>
    </row>
    <row r="258" spans="5:82" x14ac:dyDescent="0.2">
      <c r="E258" s="176">
        <v>42</v>
      </c>
      <c r="F258" s="223">
        <f t="shared" si="381"/>
        <v>4.6199999999999998E-2</v>
      </c>
      <c r="G258" s="223">
        <f t="shared" si="364"/>
        <v>8.4000000000000005E-2</v>
      </c>
      <c r="H258" s="223">
        <f t="shared" si="365"/>
        <v>1.1088</v>
      </c>
      <c r="I258" s="223">
        <f t="shared" si="366"/>
        <v>1.008</v>
      </c>
      <c r="J258" s="559">
        <f t="shared" si="332"/>
        <v>15</v>
      </c>
      <c r="K258" s="454">
        <f t="shared" si="333"/>
        <v>24.25</v>
      </c>
      <c r="L258" s="454">
        <f t="shared" si="334"/>
        <v>39.25</v>
      </c>
      <c r="M258" s="454"/>
      <c r="N258" s="223">
        <f t="shared" si="335"/>
        <v>0.61783439490445857</v>
      </c>
      <c r="O258" s="178">
        <f t="shared" si="367"/>
        <v>3.3434770245677887</v>
      </c>
      <c r="P258" s="178">
        <f t="shared" si="368"/>
        <v>5.8027287203242626</v>
      </c>
      <c r="Q258" s="223">
        <f t="shared" si="338"/>
        <v>0.13931154269032453</v>
      </c>
      <c r="R258" s="223">
        <f t="shared" si="369"/>
        <v>0.27862308538064906</v>
      </c>
      <c r="S258" s="223">
        <f t="shared" si="370"/>
        <v>24</v>
      </c>
      <c r="T258" s="223">
        <f t="shared" si="371"/>
        <v>0.48086467715680964</v>
      </c>
      <c r="U258" s="223">
        <f t="shared" si="342"/>
        <v>1.5067093217580034</v>
      </c>
      <c r="V258" s="223">
        <f t="shared" si="343"/>
        <v>0.93198514747917738</v>
      </c>
      <c r="W258" s="203">
        <f t="shared" si="344"/>
        <v>350</v>
      </c>
      <c r="X258" s="454">
        <f t="shared" si="345"/>
        <v>350</v>
      </c>
      <c r="Z258" s="223">
        <f t="shared" si="346"/>
        <v>0.56337482818035733</v>
      </c>
      <c r="AA258" s="179">
        <f t="shared" si="347"/>
        <v>1.0919017288444037</v>
      </c>
      <c r="AB258" s="179">
        <f t="shared" si="372"/>
        <v>5.6388745313775496E-2</v>
      </c>
      <c r="AC258" s="179"/>
      <c r="AD258" s="179">
        <f t="shared" si="349"/>
        <v>0.56206185567010303</v>
      </c>
      <c r="AE258" s="563">
        <f t="shared" si="373"/>
        <v>566.8783363270677</v>
      </c>
      <c r="AF258" s="546">
        <f t="shared" si="374"/>
        <v>2.8524639175257726E-2</v>
      </c>
      <c r="AH258" s="179">
        <f t="shared" si="375"/>
        <v>0.50730829101017028</v>
      </c>
      <c r="AI258" s="179">
        <f t="shared" si="376"/>
        <v>0.50730829101017028</v>
      </c>
      <c r="AJ258" s="179">
        <f t="shared" si="377"/>
        <v>1.3609691044519781</v>
      </c>
      <c r="AL258" s="563">
        <f t="shared" si="378"/>
        <v>46.199999999999996</v>
      </c>
      <c r="AM258" s="472">
        <f t="shared" si="379"/>
        <v>350</v>
      </c>
      <c r="AO258">
        <f t="shared" si="357"/>
        <v>46.199999999999996</v>
      </c>
      <c r="AP258">
        <f t="shared" si="358"/>
        <v>350</v>
      </c>
      <c r="AR258" s="6">
        <f t="shared" si="322"/>
        <v>2.8571428571428572</v>
      </c>
      <c r="AS258" s="6">
        <f t="shared" si="361"/>
        <v>1.5895659784985334</v>
      </c>
      <c r="AT258" s="6">
        <f t="shared" si="362"/>
        <v>1.2675768786443238</v>
      </c>
      <c r="AU258" s="179">
        <f t="shared" si="363"/>
        <v>0.55634809247448669</v>
      </c>
      <c r="CD258" s="581">
        <f t="shared" si="380"/>
        <v>-50</v>
      </c>
    </row>
    <row r="259" spans="5:82" x14ac:dyDescent="0.2">
      <c r="E259" s="176">
        <v>43</v>
      </c>
      <c r="F259" s="223">
        <f t="shared" si="381"/>
        <v>4.7300000000000002E-2</v>
      </c>
      <c r="G259" s="223">
        <f t="shared" si="364"/>
        <v>8.6000000000000007E-2</v>
      </c>
      <c r="H259" s="223">
        <f t="shared" si="365"/>
        <v>1.1352</v>
      </c>
      <c r="I259" s="223">
        <f t="shared" si="366"/>
        <v>1.032</v>
      </c>
      <c r="J259" s="559">
        <f t="shared" si="332"/>
        <v>15</v>
      </c>
      <c r="K259" s="454">
        <f t="shared" si="333"/>
        <v>24.25</v>
      </c>
      <c r="L259" s="454">
        <f t="shared" si="334"/>
        <v>39.25</v>
      </c>
      <c r="M259" s="454"/>
      <c r="N259" s="223">
        <f t="shared" si="335"/>
        <v>0.61783439490445857</v>
      </c>
      <c r="O259" s="178">
        <f t="shared" si="367"/>
        <v>3.3434770245677887</v>
      </c>
      <c r="P259" s="178">
        <f t="shared" si="368"/>
        <v>5.8027287203242626</v>
      </c>
      <c r="Q259" s="223">
        <f t="shared" si="338"/>
        <v>0.13931154269032453</v>
      </c>
      <c r="R259" s="223">
        <f t="shared" si="369"/>
        <v>0.27862308538064906</v>
      </c>
      <c r="S259" s="223">
        <f t="shared" si="370"/>
        <v>24</v>
      </c>
      <c r="T259" s="223">
        <f t="shared" si="371"/>
        <v>0.49231383613673368</v>
      </c>
      <c r="U259" s="223">
        <f t="shared" si="342"/>
        <v>1.5425833532284321</v>
      </c>
      <c r="V259" s="223">
        <f t="shared" si="343"/>
        <v>0.95417527003820535</v>
      </c>
      <c r="W259" s="203">
        <f t="shared" si="344"/>
        <v>350</v>
      </c>
      <c r="X259" s="454">
        <f t="shared" si="345"/>
        <v>350</v>
      </c>
      <c r="Z259" s="223">
        <f t="shared" si="346"/>
        <v>0.56337482818035733</v>
      </c>
      <c r="AA259" s="179">
        <f t="shared" si="347"/>
        <v>1.0919017288444037</v>
      </c>
      <c r="AB259" s="179">
        <f t="shared" si="372"/>
        <v>5.6388745313775496E-2</v>
      </c>
      <c r="AC259" s="179"/>
      <c r="AD259" s="179">
        <f t="shared" si="349"/>
        <v>0.56206185567010303</v>
      </c>
      <c r="AE259" s="563">
        <f t="shared" si="373"/>
        <v>580.3754395729502</v>
      </c>
      <c r="AF259" s="546">
        <f t="shared" si="374"/>
        <v>2.8524639175257726E-2</v>
      </c>
      <c r="AH259" s="179">
        <f t="shared" si="375"/>
        <v>0.51331214840691985</v>
      </c>
      <c r="AI259" s="179">
        <f t="shared" si="376"/>
        <v>0.51331214840691985</v>
      </c>
      <c r="AJ259" s="179">
        <f t="shared" si="377"/>
        <v>1.3654164062273479</v>
      </c>
      <c r="AL259" s="563">
        <f t="shared" si="378"/>
        <v>47.300000000000004</v>
      </c>
      <c r="AM259" s="472">
        <f t="shared" si="379"/>
        <v>350</v>
      </c>
      <c r="AO259">
        <f t="shared" si="357"/>
        <v>47.300000000000004</v>
      </c>
      <c r="AP259">
        <f t="shared" si="358"/>
        <v>350</v>
      </c>
      <c r="AR259" s="6">
        <f t="shared" si="322"/>
        <v>2.8571428571428572</v>
      </c>
      <c r="AS259" s="6">
        <f t="shared" si="361"/>
        <v>1.6083780650083488</v>
      </c>
      <c r="AT259" s="6">
        <f t="shared" si="362"/>
        <v>1.2487647921345084</v>
      </c>
      <c r="AU259" s="179">
        <f t="shared" si="363"/>
        <v>0.56293232275292204</v>
      </c>
      <c r="CD259" s="581">
        <f t="shared" si="380"/>
        <v>-50</v>
      </c>
    </row>
    <row r="260" spans="5:82" x14ac:dyDescent="0.2">
      <c r="E260" s="176">
        <v>44</v>
      </c>
      <c r="F260" s="223">
        <f t="shared" si="381"/>
        <v>4.8399999999999999E-2</v>
      </c>
      <c r="G260" s="223">
        <f t="shared" si="364"/>
        <v>8.8000000000000009E-2</v>
      </c>
      <c r="H260" s="223">
        <f t="shared" si="365"/>
        <v>1.1616</v>
      </c>
      <c r="I260" s="223">
        <f t="shared" si="366"/>
        <v>1.056</v>
      </c>
      <c r="J260" s="559">
        <f t="shared" si="332"/>
        <v>15</v>
      </c>
      <c r="K260" s="454">
        <f t="shared" si="333"/>
        <v>24.25</v>
      </c>
      <c r="L260" s="454">
        <f t="shared" si="334"/>
        <v>39.25</v>
      </c>
      <c r="M260" s="454"/>
      <c r="N260" s="223">
        <f t="shared" si="335"/>
        <v>0.61783439490445857</v>
      </c>
      <c r="O260" s="178">
        <f t="shared" si="367"/>
        <v>3.3434770245677887</v>
      </c>
      <c r="P260" s="178">
        <f t="shared" si="368"/>
        <v>5.8027287203242626</v>
      </c>
      <c r="Q260" s="223">
        <f t="shared" si="338"/>
        <v>0.13931154269032453</v>
      </c>
      <c r="R260" s="223">
        <f t="shared" si="369"/>
        <v>0.27862308538064906</v>
      </c>
      <c r="S260" s="223">
        <f t="shared" si="370"/>
        <v>24</v>
      </c>
      <c r="T260" s="223">
        <f t="shared" si="371"/>
        <v>0.50376299511665767</v>
      </c>
      <c r="U260" s="223">
        <f t="shared" si="342"/>
        <v>1.5784573846988605</v>
      </c>
      <c r="V260" s="223">
        <f t="shared" si="343"/>
        <v>0.97636539259723332</v>
      </c>
      <c r="W260" s="203">
        <f t="shared" si="344"/>
        <v>350</v>
      </c>
      <c r="X260" s="454">
        <f t="shared" si="345"/>
        <v>350</v>
      </c>
      <c r="Z260" s="223">
        <f t="shared" si="346"/>
        <v>0.56337482818035733</v>
      </c>
      <c r="AA260" s="179">
        <f t="shared" si="347"/>
        <v>1.0919017288444037</v>
      </c>
      <c r="AB260" s="179">
        <f t="shared" si="372"/>
        <v>5.6388745313775496E-2</v>
      </c>
      <c r="AC260" s="179"/>
      <c r="AD260" s="179">
        <f t="shared" si="349"/>
        <v>0.56206185567010303</v>
      </c>
      <c r="AE260" s="563">
        <f t="shared" si="373"/>
        <v>593.87254281883281</v>
      </c>
      <c r="AF260" s="546">
        <f t="shared" si="374"/>
        <v>2.8524639175257726E-2</v>
      </c>
      <c r="AH260" s="179">
        <f t="shared" si="375"/>
        <v>0.51924659004811557</v>
      </c>
      <c r="AI260" s="179">
        <f t="shared" si="376"/>
        <v>0.51924659004811557</v>
      </c>
      <c r="AJ260" s="179">
        <f t="shared" si="377"/>
        <v>1.3698122889245301</v>
      </c>
      <c r="AL260" s="563">
        <f t="shared" si="378"/>
        <v>48.4</v>
      </c>
      <c r="AM260" s="472">
        <f t="shared" si="379"/>
        <v>350</v>
      </c>
      <c r="AO260">
        <f t="shared" si="357"/>
        <v>48.4</v>
      </c>
      <c r="AP260">
        <f t="shared" si="358"/>
        <v>350</v>
      </c>
      <c r="AR260" s="6">
        <f t="shared" si="322"/>
        <v>2.8571428571428572</v>
      </c>
      <c r="AS260" s="6">
        <f t="shared" si="361"/>
        <v>1.6269726488174288</v>
      </c>
      <c r="AT260" s="6">
        <f t="shared" si="362"/>
        <v>1.2301702083254284</v>
      </c>
      <c r="AU260" s="179">
        <f t="shared" si="363"/>
        <v>0.5694404270861001</v>
      </c>
      <c r="CD260" s="581">
        <f t="shared" si="380"/>
        <v>-50</v>
      </c>
    </row>
    <row r="261" spans="5:82" x14ac:dyDescent="0.2">
      <c r="E261" s="176">
        <v>45</v>
      </c>
      <c r="F261" s="223">
        <f t="shared" si="381"/>
        <v>4.9500000000000002E-2</v>
      </c>
      <c r="G261" s="223">
        <f t="shared" si="364"/>
        <v>9.0000000000000011E-2</v>
      </c>
      <c r="H261" s="223">
        <f t="shared" si="365"/>
        <v>1.1880000000000002</v>
      </c>
      <c r="I261" s="223">
        <f t="shared" si="366"/>
        <v>1.08</v>
      </c>
      <c r="J261" s="559">
        <f t="shared" si="332"/>
        <v>15</v>
      </c>
      <c r="K261" s="454">
        <f t="shared" si="333"/>
        <v>24.25</v>
      </c>
      <c r="L261" s="454">
        <f t="shared" si="334"/>
        <v>39.25</v>
      </c>
      <c r="M261" s="454"/>
      <c r="N261" s="223">
        <f t="shared" si="335"/>
        <v>0.61783439490445857</v>
      </c>
      <c r="O261" s="178">
        <f t="shared" si="367"/>
        <v>3.3434770245677887</v>
      </c>
      <c r="P261" s="178">
        <f t="shared" si="368"/>
        <v>5.8027287203242626</v>
      </c>
      <c r="Q261" s="223">
        <f t="shared" si="338"/>
        <v>0.13931154269032453</v>
      </c>
      <c r="R261" s="223">
        <f t="shared" si="369"/>
        <v>0.27862308538064906</v>
      </c>
      <c r="S261" s="223">
        <f t="shared" si="370"/>
        <v>24</v>
      </c>
      <c r="T261" s="223">
        <f t="shared" si="371"/>
        <v>0.51521215409658183</v>
      </c>
      <c r="U261" s="223">
        <f t="shared" si="342"/>
        <v>1.6143314161692897</v>
      </c>
      <c r="V261" s="223">
        <f t="shared" si="343"/>
        <v>0.99855551515626162</v>
      </c>
      <c r="W261" s="203">
        <f t="shared" si="344"/>
        <v>350</v>
      </c>
      <c r="X261" s="454">
        <f t="shared" si="345"/>
        <v>350</v>
      </c>
      <c r="Z261" s="223">
        <f t="shared" si="346"/>
        <v>0.56337482818035733</v>
      </c>
      <c r="AA261" s="179">
        <f t="shared" si="347"/>
        <v>1.0919017288444037</v>
      </c>
      <c r="AB261" s="179">
        <f t="shared" si="372"/>
        <v>5.6388745313775496E-2</v>
      </c>
      <c r="AC261" s="179"/>
      <c r="AD261" s="179">
        <f t="shared" si="349"/>
        <v>0.56206185567010303</v>
      </c>
      <c r="AE261" s="563">
        <f t="shared" si="373"/>
        <v>607.36964606471543</v>
      </c>
      <c r="AF261" s="546">
        <f t="shared" si="374"/>
        <v>2.8524639175257726E-2</v>
      </c>
      <c r="AH261" s="179">
        <f t="shared" si="375"/>
        <v>0.52511396939242039</v>
      </c>
      <c r="AI261" s="179">
        <f t="shared" si="376"/>
        <v>0.52511396939242039</v>
      </c>
      <c r="AJ261" s="179">
        <f t="shared" si="377"/>
        <v>1.3741584958462374</v>
      </c>
      <c r="AL261" s="563">
        <f t="shared" si="378"/>
        <v>49.5</v>
      </c>
      <c r="AM261" s="472">
        <f t="shared" si="379"/>
        <v>350</v>
      </c>
      <c r="AO261">
        <f t="shared" si="357"/>
        <v>49.5</v>
      </c>
      <c r="AP261">
        <f t="shared" si="358"/>
        <v>350</v>
      </c>
      <c r="AR261" s="6">
        <f t="shared" si="322"/>
        <v>2.8571428571428572</v>
      </c>
      <c r="AS261" s="6">
        <f t="shared" si="361"/>
        <v>1.6453571040962505</v>
      </c>
      <c r="AT261" s="6">
        <f t="shared" si="362"/>
        <v>1.2117857530466067</v>
      </c>
      <c r="AU261" s="179">
        <f t="shared" si="363"/>
        <v>0.57587498643368762</v>
      </c>
      <c r="CD261" s="581">
        <f t="shared" si="380"/>
        <v>-50</v>
      </c>
    </row>
    <row r="262" spans="5:82" x14ac:dyDescent="0.2">
      <c r="E262" s="176">
        <v>46</v>
      </c>
      <c r="F262" s="223">
        <f t="shared" si="381"/>
        <v>5.0599999999999999E-2</v>
      </c>
      <c r="G262" s="223">
        <f t="shared" si="364"/>
        <v>9.2000000000000012E-2</v>
      </c>
      <c r="H262" s="223">
        <f t="shared" si="365"/>
        <v>1.2143999999999999</v>
      </c>
      <c r="I262" s="223">
        <f t="shared" si="366"/>
        <v>1.1040000000000001</v>
      </c>
      <c r="J262" s="559">
        <f t="shared" si="332"/>
        <v>15</v>
      </c>
      <c r="K262" s="454">
        <f t="shared" si="333"/>
        <v>24.25</v>
      </c>
      <c r="L262" s="454">
        <f t="shared" si="334"/>
        <v>39.25</v>
      </c>
      <c r="M262" s="454"/>
      <c r="N262" s="223">
        <f t="shared" si="335"/>
        <v>0.61783439490445857</v>
      </c>
      <c r="O262" s="178">
        <f t="shared" si="367"/>
        <v>3.3434770245677887</v>
      </c>
      <c r="P262" s="178">
        <f t="shared" si="368"/>
        <v>5.8027287203242626</v>
      </c>
      <c r="Q262" s="223">
        <f t="shared" si="338"/>
        <v>0.13931154269032453</v>
      </c>
      <c r="R262" s="223">
        <f t="shared" si="369"/>
        <v>0.27862308538064906</v>
      </c>
      <c r="S262" s="223">
        <f t="shared" si="370"/>
        <v>24</v>
      </c>
      <c r="T262" s="223">
        <f t="shared" si="371"/>
        <v>0.52666131307650577</v>
      </c>
      <c r="U262" s="223">
        <f t="shared" si="342"/>
        <v>1.6502054476397179</v>
      </c>
      <c r="V262" s="223">
        <f t="shared" si="343"/>
        <v>1.0207456377152893</v>
      </c>
      <c r="W262" s="203">
        <f t="shared" si="344"/>
        <v>350</v>
      </c>
      <c r="X262" s="454">
        <f t="shared" si="345"/>
        <v>350</v>
      </c>
      <c r="Z262" s="223">
        <f t="shared" si="346"/>
        <v>0.56337482818035733</v>
      </c>
      <c r="AA262" s="179">
        <f t="shared" si="347"/>
        <v>1.0919017288444037</v>
      </c>
      <c r="AB262" s="179">
        <f t="shared" si="372"/>
        <v>5.6388745313775496E-2</v>
      </c>
      <c r="AC262" s="179"/>
      <c r="AD262" s="179">
        <f t="shared" si="349"/>
        <v>0.56206185567010303</v>
      </c>
      <c r="AE262" s="563">
        <f t="shared" si="373"/>
        <v>620.86674931059792</v>
      </c>
      <c r="AF262" s="546">
        <f t="shared" si="374"/>
        <v>2.8524639175257726E-2</v>
      </c>
      <c r="AH262" s="179">
        <f t="shared" si="375"/>
        <v>0.53091650984456296</v>
      </c>
      <c r="AI262" s="179">
        <f t="shared" si="376"/>
        <v>0.53091650984456296</v>
      </c>
      <c r="AJ262" s="179">
        <f t="shared" si="377"/>
        <v>1.3784566739589355</v>
      </c>
      <c r="AL262" s="563">
        <f t="shared" si="378"/>
        <v>50.6</v>
      </c>
      <c r="AM262" s="472">
        <f t="shared" si="379"/>
        <v>350</v>
      </c>
      <c r="AO262">
        <f t="shared" si="357"/>
        <v>50.6</v>
      </c>
      <c r="AP262">
        <f t="shared" si="358"/>
        <v>350</v>
      </c>
      <c r="AR262" s="6">
        <f t="shared" si="322"/>
        <v>2.8571428571428572</v>
      </c>
      <c r="AS262" s="6">
        <f t="shared" si="361"/>
        <v>1.6635383975129638</v>
      </c>
      <c r="AT262" s="6">
        <f t="shared" si="362"/>
        <v>1.1936044596298934</v>
      </c>
      <c r="AU262" s="179">
        <f t="shared" si="363"/>
        <v>0.58223843912953732</v>
      </c>
      <c r="CD262" s="581">
        <f t="shared" si="380"/>
        <v>-50</v>
      </c>
    </row>
    <row r="263" spans="5:82" x14ac:dyDescent="0.2">
      <c r="E263" s="176">
        <v>47</v>
      </c>
      <c r="F263" s="223">
        <f t="shared" si="381"/>
        <v>5.1699999999999996E-2</v>
      </c>
      <c r="G263" s="223">
        <f t="shared" si="364"/>
        <v>9.4E-2</v>
      </c>
      <c r="H263" s="223">
        <f t="shared" si="365"/>
        <v>1.2407999999999999</v>
      </c>
      <c r="I263" s="223">
        <f t="shared" si="366"/>
        <v>1.1280000000000001</v>
      </c>
      <c r="J263" s="559">
        <f t="shared" si="332"/>
        <v>15</v>
      </c>
      <c r="K263" s="454">
        <f t="shared" si="333"/>
        <v>24.25</v>
      </c>
      <c r="L263" s="454">
        <f t="shared" si="334"/>
        <v>39.25</v>
      </c>
      <c r="M263" s="454"/>
      <c r="N263" s="223">
        <f t="shared" si="335"/>
        <v>0.61783439490445857</v>
      </c>
      <c r="O263" s="178">
        <f t="shared" si="367"/>
        <v>3.3434770245677887</v>
      </c>
      <c r="P263" s="178">
        <f t="shared" si="368"/>
        <v>5.8027287203242626</v>
      </c>
      <c r="Q263" s="223">
        <f t="shared" si="338"/>
        <v>0.13931154269032453</v>
      </c>
      <c r="R263" s="223">
        <f t="shared" si="369"/>
        <v>0.27862308538064906</v>
      </c>
      <c r="S263" s="223">
        <f t="shared" si="370"/>
        <v>24</v>
      </c>
      <c r="T263" s="223">
        <f t="shared" si="371"/>
        <v>0.53811047205642981</v>
      </c>
      <c r="U263" s="223">
        <f t="shared" si="342"/>
        <v>1.6860794791101466</v>
      </c>
      <c r="V263" s="223">
        <f t="shared" si="343"/>
        <v>1.0429357602743174</v>
      </c>
      <c r="W263" s="203">
        <f t="shared" si="344"/>
        <v>350</v>
      </c>
      <c r="X263" s="454">
        <f t="shared" si="345"/>
        <v>350</v>
      </c>
      <c r="Z263" s="223">
        <f t="shared" si="346"/>
        <v>0.56337482818035733</v>
      </c>
      <c r="AA263" s="179">
        <f t="shared" si="347"/>
        <v>1.0919017288444037</v>
      </c>
      <c r="AB263" s="179">
        <f t="shared" si="372"/>
        <v>5.6388745313775496E-2</v>
      </c>
      <c r="AC263" s="179"/>
      <c r="AD263" s="179">
        <f t="shared" si="349"/>
        <v>0.56206185567010303</v>
      </c>
      <c r="AE263" s="563">
        <f t="shared" si="373"/>
        <v>634.36385255648042</v>
      </c>
      <c r="AF263" s="546">
        <f t="shared" si="374"/>
        <v>2.8524639175257726E-2</v>
      </c>
      <c r="AH263" s="179">
        <f t="shared" si="375"/>
        <v>0.53665631459994956</v>
      </c>
      <c r="AI263" s="179">
        <f t="shared" si="376"/>
        <v>0.53665631459994956</v>
      </c>
      <c r="AJ263" s="179">
        <f t="shared" si="377"/>
        <v>1.3827083811851477</v>
      </c>
      <c r="AL263" s="563">
        <f t="shared" si="378"/>
        <v>51.699999999999996</v>
      </c>
      <c r="AM263" s="472">
        <f t="shared" si="379"/>
        <v>350</v>
      </c>
      <c r="AO263">
        <f t="shared" si="357"/>
        <v>51.699999999999996</v>
      </c>
      <c r="AP263">
        <f t="shared" si="358"/>
        <v>350</v>
      </c>
      <c r="AR263" s="6">
        <f t="shared" ref="AR263:AR316" si="382">1/AM263*1000</f>
        <v>2.8571428571428572</v>
      </c>
      <c r="AS263" s="6">
        <f t="shared" si="361"/>
        <v>1.6815231190798421</v>
      </c>
      <c r="AT263" s="6">
        <f t="shared" si="362"/>
        <v>1.1756197380630151</v>
      </c>
      <c r="AU263" s="179">
        <f t="shared" si="363"/>
        <v>0.58853309167794476</v>
      </c>
      <c r="CD263" s="581">
        <f t="shared" si="380"/>
        <v>-50</v>
      </c>
    </row>
    <row r="264" spans="5:82" x14ac:dyDescent="0.2">
      <c r="E264" s="176">
        <v>48</v>
      </c>
      <c r="F264" s="223">
        <f t="shared" si="381"/>
        <v>5.28E-2</v>
      </c>
      <c r="G264" s="223">
        <f t="shared" si="364"/>
        <v>9.6000000000000002E-2</v>
      </c>
      <c r="H264" s="223">
        <f t="shared" si="365"/>
        <v>1.2671999999999999</v>
      </c>
      <c r="I264" s="223">
        <f t="shared" si="366"/>
        <v>1.1520000000000001</v>
      </c>
      <c r="J264" s="559">
        <f t="shared" si="332"/>
        <v>15</v>
      </c>
      <c r="K264" s="454">
        <f t="shared" si="333"/>
        <v>24.25</v>
      </c>
      <c r="L264" s="454">
        <f t="shared" si="334"/>
        <v>39.25</v>
      </c>
      <c r="M264" s="454"/>
      <c r="N264" s="223">
        <f t="shared" si="335"/>
        <v>0.61783439490445857</v>
      </c>
      <c r="O264" s="178">
        <f t="shared" si="367"/>
        <v>3.3434770245677887</v>
      </c>
      <c r="P264" s="178">
        <f t="shared" si="368"/>
        <v>5.8027287203242626</v>
      </c>
      <c r="Q264" s="223">
        <f t="shared" si="338"/>
        <v>0.13931154269032453</v>
      </c>
      <c r="R264" s="223">
        <f t="shared" si="369"/>
        <v>0.27862308538064906</v>
      </c>
      <c r="S264" s="223">
        <f t="shared" si="370"/>
        <v>24</v>
      </c>
      <c r="T264" s="223">
        <f t="shared" si="371"/>
        <v>0.54955963103635386</v>
      </c>
      <c r="U264" s="223">
        <f t="shared" si="342"/>
        <v>1.7219535105805754</v>
      </c>
      <c r="V264" s="223">
        <f t="shared" si="343"/>
        <v>1.0651258828333456</v>
      </c>
      <c r="W264" s="203">
        <f t="shared" si="344"/>
        <v>350</v>
      </c>
      <c r="X264" s="454">
        <f t="shared" si="345"/>
        <v>350</v>
      </c>
      <c r="Z264" s="223">
        <f t="shared" si="346"/>
        <v>0.56337482818035733</v>
      </c>
      <c r="AA264" s="179">
        <f t="shared" si="347"/>
        <v>1.0919017288444037</v>
      </c>
      <c r="AB264" s="179">
        <f t="shared" si="372"/>
        <v>5.6388745313775496E-2</v>
      </c>
      <c r="AC264" s="179"/>
      <c r="AD264" s="179">
        <f t="shared" si="349"/>
        <v>0.56206185567010303</v>
      </c>
      <c r="AE264" s="563">
        <f t="shared" si="373"/>
        <v>647.86095580236315</v>
      </c>
      <c r="AF264" s="546">
        <f t="shared" si="374"/>
        <v>2.8524639175257726E-2</v>
      </c>
      <c r="AH264" s="179">
        <f t="shared" si="375"/>
        <v>0.54233537555139077</v>
      </c>
      <c r="AI264" s="179">
        <f t="shared" si="376"/>
        <v>0.54233537555139077</v>
      </c>
      <c r="AJ264" s="179">
        <f t="shared" si="377"/>
        <v>1.3869150930010301</v>
      </c>
      <c r="AL264" s="563">
        <f t="shared" si="378"/>
        <v>52.8</v>
      </c>
      <c r="AM264" s="472">
        <f t="shared" si="379"/>
        <v>350</v>
      </c>
      <c r="AO264">
        <f t="shared" si="357"/>
        <v>52.8</v>
      </c>
      <c r="AP264">
        <f t="shared" si="358"/>
        <v>350</v>
      </c>
      <c r="AR264" s="6">
        <f t="shared" si="382"/>
        <v>2.8571428571428572</v>
      </c>
      <c r="AS264" s="6">
        <f t="shared" si="361"/>
        <v>1.6993175100610243</v>
      </c>
      <c r="AT264" s="6">
        <f t="shared" si="362"/>
        <v>1.1578253470818329</v>
      </c>
      <c r="AU264" s="179">
        <f t="shared" si="363"/>
        <v>0.59476112852135843</v>
      </c>
      <c r="CD264" s="581">
        <f t="shared" si="380"/>
        <v>-50</v>
      </c>
    </row>
    <row r="265" spans="5:82" x14ac:dyDescent="0.2">
      <c r="E265" s="176">
        <v>49</v>
      </c>
      <c r="F265" s="223">
        <f t="shared" si="381"/>
        <v>5.3899999999999997E-2</v>
      </c>
      <c r="G265" s="223">
        <f t="shared" si="364"/>
        <v>9.8000000000000004E-2</v>
      </c>
      <c r="H265" s="223">
        <f t="shared" si="365"/>
        <v>1.2935999999999999</v>
      </c>
      <c r="I265" s="223">
        <f t="shared" si="366"/>
        <v>1.1760000000000002</v>
      </c>
      <c r="J265" s="559">
        <f t="shared" si="332"/>
        <v>15</v>
      </c>
      <c r="K265" s="454">
        <f t="shared" si="333"/>
        <v>24.25</v>
      </c>
      <c r="L265" s="454">
        <f t="shared" si="334"/>
        <v>39.25</v>
      </c>
      <c r="M265" s="454"/>
      <c r="N265" s="223">
        <f t="shared" si="335"/>
        <v>0.61783439490445857</v>
      </c>
      <c r="O265" s="178">
        <f t="shared" si="367"/>
        <v>3.3434770245677887</v>
      </c>
      <c r="P265" s="178">
        <f t="shared" si="368"/>
        <v>5.8027287203242626</v>
      </c>
      <c r="Q265" s="223">
        <f t="shared" si="338"/>
        <v>0.13931154269032453</v>
      </c>
      <c r="R265" s="223">
        <f t="shared" si="369"/>
        <v>0.27862308538064906</v>
      </c>
      <c r="S265" s="223">
        <f t="shared" si="370"/>
        <v>24</v>
      </c>
      <c r="T265" s="223">
        <f t="shared" si="371"/>
        <v>0.56100879001627779</v>
      </c>
      <c r="U265" s="223">
        <f t="shared" si="342"/>
        <v>1.7578275420510034</v>
      </c>
      <c r="V265" s="223">
        <f t="shared" si="343"/>
        <v>1.0873160053923734</v>
      </c>
      <c r="W265" s="203">
        <f t="shared" si="344"/>
        <v>350</v>
      </c>
      <c r="X265" s="454">
        <f t="shared" si="345"/>
        <v>350</v>
      </c>
      <c r="Z265" s="223">
        <f t="shared" si="346"/>
        <v>0.56337482818035733</v>
      </c>
      <c r="AA265" s="179">
        <f t="shared" si="347"/>
        <v>1.0919017288444037</v>
      </c>
      <c r="AB265" s="179">
        <f t="shared" si="372"/>
        <v>5.6388745313775496E-2</v>
      </c>
      <c r="AC265" s="179"/>
      <c r="AD265" s="179">
        <f t="shared" si="349"/>
        <v>0.56206185567010303</v>
      </c>
      <c r="AE265" s="563">
        <f t="shared" si="373"/>
        <v>661.35805904824554</v>
      </c>
      <c r="AF265" s="546">
        <f t="shared" si="374"/>
        <v>2.8524639175257726E-2</v>
      </c>
      <c r="AH265" s="179">
        <f t="shared" si="375"/>
        <v>0.54795558136489142</v>
      </c>
      <c r="AI265" s="179">
        <f t="shared" si="376"/>
        <v>0.54795558136489142</v>
      </c>
      <c r="AJ265" s="179">
        <f t="shared" si="377"/>
        <v>1.3910782084184381</v>
      </c>
      <c r="AL265" s="563">
        <f t="shared" si="378"/>
        <v>53.9</v>
      </c>
      <c r="AM265" s="472">
        <f t="shared" si="379"/>
        <v>350</v>
      </c>
      <c r="AO265">
        <f t="shared" si="357"/>
        <v>53.9</v>
      </c>
      <c r="AP265">
        <f t="shared" si="358"/>
        <v>350</v>
      </c>
      <c r="AR265" s="6">
        <f t="shared" si="382"/>
        <v>2.8571428571428572</v>
      </c>
      <c r="AS265" s="6">
        <f t="shared" si="361"/>
        <v>1.7169274882766596</v>
      </c>
      <c r="AT265" s="6">
        <f t="shared" si="362"/>
        <v>1.1402153688661976</v>
      </c>
      <c r="AU265" s="179">
        <f t="shared" si="363"/>
        <v>0.60092462089683085</v>
      </c>
      <c r="CD265" s="581">
        <f t="shared" si="380"/>
        <v>-50</v>
      </c>
    </row>
    <row r="266" spans="5:82" x14ac:dyDescent="0.2">
      <c r="E266" s="176">
        <v>50</v>
      </c>
      <c r="F266" s="223">
        <f t="shared" si="381"/>
        <v>5.5E-2</v>
      </c>
      <c r="G266" s="223">
        <f t="shared" si="364"/>
        <v>0.1</v>
      </c>
      <c r="H266" s="223">
        <f t="shared" si="365"/>
        <v>1.32</v>
      </c>
      <c r="I266" s="223">
        <f t="shared" si="366"/>
        <v>1.2000000000000002</v>
      </c>
      <c r="J266" s="559">
        <f t="shared" si="332"/>
        <v>15</v>
      </c>
      <c r="K266" s="454">
        <f t="shared" si="333"/>
        <v>24.25</v>
      </c>
      <c r="L266" s="454">
        <f t="shared" si="334"/>
        <v>39.25</v>
      </c>
      <c r="M266" s="454"/>
      <c r="N266" s="223">
        <f t="shared" si="335"/>
        <v>0.61783439490445857</v>
      </c>
      <c r="O266" s="178">
        <f t="shared" si="367"/>
        <v>3.3434770245677887</v>
      </c>
      <c r="P266" s="178">
        <f t="shared" si="368"/>
        <v>5.8027287203242626</v>
      </c>
      <c r="Q266" s="223">
        <f t="shared" si="338"/>
        <v>0.13931154269032453</v>
      </c>
      <c r="R266" s="223">
        <f t="shared" si="369"/>
        <v>0.27862308538064906</v>
      </c>
      <c r="S266" s="223">
        <f t="shared" si="370"/>
        <v>24</v>
      </c>
      <c r="T266" s="223">
        <f t="shared" si="371"/>
        <v>0.57245794899620206</v>
      </c>
      <c r="U266" s="223">
        <f t="shared" si="342"/>
        <v>1.793701573521433</v>
      </c>
      <c r="V266" s="223">
        <f t="shared" si="343"/>
        <v>1.1095061279514018</v>
      </c>
      <c r="W266" s="203">
        <f t="shared" si="344"/>
        <v>350</v>
      </c>
      <c r="X266" s="454">
        <f t="shared" si="345"/>
        <v>344.44659246828502</v>
      </c>
      <c r="Z266" s="223">
        <f t="shared" si="346"/>
        <v>0.56337482818035733</v>
      </c>
      <c r="AA266" s="179">
        <f t="shared" si="347"/>
        <v>1.0919017288444037</v>
      </c>
      <c r="AB266" s="179">
        <f t="shared" si="372"/>
        <v>5.6388745313775496E-2</v>
      </c>
      <c r="AC266" s="179"/>
      <c r="AD266" s="179">
        <f t="shared" si="349"/>
        <v>0.56206185567010303</v>
      </c>
      <c r="AE266" s="563">
        <f t="shared" si="373"/>
        <v>674.85516229412826</v>
      </c>
      <c r="AF266" s="546">
        <f t="shared" si="374"/>
        <v>2.8524639175257726E-2</v>
      </c>
      <c r="AH266" s="179">
        <f t="shared" si="375"/>
        <v>0.55351872481733111</v>
      </c>
      <c r="AI266" s="179">
        <f t="shared" si="376"/>
        <v>0.55351872481733111</v>
      </c>
      <c r="AJ266" s="179">
        <f t="shared" si="377"/>
        <v>1.3951990554202451</v>
      </c>
      <c r="AL266" s="563">
        <f t="shared" si="378"/>
        <v>55</v>
      </c>
      <c r="AM266" s="472">
        <f t="shared" si="379"/>
        <v>344.44659246828502</v>
      </c>
      <c r="AO266">
        <f t="shared" si="357"/>
        <v>55</v>
      </c>
      <c r="AP266">
        <f t="shared" si="358"/>
        <v>344.44659246828502</v>
      </c>
      <c r="AR266" s="6">
        <f t="shared" si="382"/>
        <v>2.9032077014728346</v>
      </c>
      <c r="AS266" s="6">
        <f t="shared" si="361"/>
        <v>1.734358671094304</v>
      </c>
      <c r="AT266" s="6">
        <f t="shared" si="362"/>
        <v>1.1688490303785306</v>
      </c>
      <c r="AU266" s="179">
        <f t="shared" si="363"/>
        <v>0.5973939343762561</v>
      </c>
      <c r="CD266" s="581">
        <f t="shared" si="380"/>
        <v>-50</v>
      </c>
    </row>
    <row r="267" spans="5:82" x14ac:dyDescent="0.2">
      <c r="E267" s="176">
        <v>51</v>
      </c>
      <c r="F267" s="223">
        <f t="shared" si="381"/>
        <v>5.6100000000000004E-2</v>
      </c>
      <c r="G267" s="223">
        <f t="shared" si="364"/>
        <v>0.10200000000000001</v>
      </c>
      <c r="H267" s="223">
        <f t="shared" si="365"/>
        <v>1.3464</v>
      </c>
      <c r="I267" s="223">
        <f t="shared" si="366"/>
        <v>1.2240000000000002</v>
      </c>
      <c r="J267" s="559">
        <f t="shared" si="332"/>
        <v>15</v>
      </c>
      <c r="K267" s="454">
        <f t="shared" si="333"/>
        <v>24.25</v>
      </c>
      <c r="L267" s="454">
        <f t="shared" si="334"/>
        <v>39.25</v>
      </c>
      <c r="M267" s="454"/>
      <c r="N267" s="223">
        <f t="shared" si="335"/>
        <v>0.61783439490445857</v>
      </c>
      <c r="O267" s="178">
        <f t="shared" si="367"/>
        <v>3.3434770245677887</v>
      </c>
      <c r="P267" s="178">
        <f t="shared" si="368"/>
        <v>5.8027287203242626</v>
      </c>
      <c r="Q267" s="223">
        <f t="shared" si="338"/>
        <v>0.13931154269032453</v>
      </c>
      <c r="R267" s="223">
        <f t="shared" si="369"/>
        <v>0.27862308538064906</v>
      </c>
      <c r="S267" s="223">
        <f t="shared" si="370"/>
        <v>24</v>
      </c>
      <c r="T267" s="223">
        <f t="shared" si="371"/>
        <v>0.58390710797612599</v>
      </c>
      <c r="U267" s="223">
        <f t="shared" si="342"/>
        <v>1.8295756049918614</v>
      </c>
      <c r="V267" s="223">
        <f t="shared" si="343"/>
        <v>1.1316962505104298</v>
      </c>
      <c r="W267" s="203">
        <f t="shared" si="344"/>
        <v>350</v>
      </c>
      <c r="X267" s="454">
        <f t="shared" si="345"/>
        <v>337.69273771400492</v>
      </c>
      <c r="Z267" s="223">
        <f t="shared" si="346"/>
        <v>0.56337482818035733</v>
      </c>
      <c r="AA267" s="179">
        <f t="shared" si="347"/>
        <v>1.0919017288444037</v>
      </c>
      <c r="AB267" s="179">
        <f t="shared" si="372"/>
        <v>5.6388745313775496E-2</v>
      </c>
      <c r="AC267" s="179"/>
      <c r="AD267" s="179">
        <f t="shared" si="349"/>
        <v>0.56206185567010303</v>
      </c>
      <c r="AE267" s="563">
        <f t="shared" si="373"/>
        <v>688.35226554001076</v>
      </c>
      <c r="AF267" s="546">
        <f t="shared" si="374"/>
        <v>2.8524639175257726E-2</v>
      </c>
      <c r="AH267" s="179">
        <f t="shared" si="375"/>
        <v>0.55902650947685151</v>
      </c>
      <c r="AI267" s="179">
        <f t="shared" si="376"/>
        <v>0.55902650947685151</v>
      </c>
      <c r="AJ267" s="179">
        <f t="shared" si="377"/>
        <v>1.399278895908779</v>
      </c>
      <c r="AL267" s="563">
        <f t="shared" si="378"/>
        <v>56.1</v>
      </c>
      <c r="AM267" s="472">
        <f t="shared" si="379"/>
        <v>337.69273771400492</v>
      </c>
      <c r="AO267">
        <f t="shared" si="357"/>
        <v>56.1</v>
      </c>
      <c r="AP267">
        <f t="shared" si="358"/>
        <v>337.69273771400492</v>
      </c>
      <c r="AR267" s="6">
        <f t="shared" si="382"/>
        <v>2.9612718555022917</v>
      </c>
      <c r="AS267" s="6">
        <f t="shared" si="361"/>
        <v>1.7516163963608011</v>
      </c>
      <c r="AT267" s="6">
        <f t="shared" si="362"/>
        <v>1.2096554591414905</v>
      </c>
      <c r="AU267" s="179">
        <f t="shared" si="363"/>
        <v>0.59150813631181842</v>
      </c>
      <c r="CD267" s="581">
        <f t="shared" si="380"/>
        <v>-50</v>
      </c>
    </row>
    <row r="268" spans="5:82" x14ac:dyDescent="0.2">
      <c r="E268" s="176">
        <v>52</v>
      </c>
      <c r="F268" s="223">
        <f t="shared" si="381"/>
        <v>5.7200000000000001E-2</v>
      </c>
      <c r="G268" s="223">
        <f t="shared" si="364"/>
        <v>0.10400000000000001</v>
      </c>
      <c r="H268" s="223">
        <f t="shared" si="365"/>
        <v>1.3728</v>
      </c>
      <c r="I268" s="223">
        <f t="shared" si="366"/>
        <v>1.2480000000000002</v>
      </c>
      <c r="J268" s="559">
        <f t="shared" si="332"/>
        <v>15</v>
      </c>
      <c r="K268" s="454">
        <f t="shared" si="333"/>
        <v>24.25</v>
      </c>
      <c r="L268" s="454">
        <f t="shared" si="334"/>
        <v>39.25</v>
      </c>
      <c r="M268" s="454"/>
      <c r="N268" s="223">
        <f t="shared" si="335"/>
        <v>0.61783439490445857</v>
      </c>
      <c r="O268" s="178">
        <f t="shared" si="367"/>
        <v>3.3434770245677887</v>
      </c>
      <c r="P268" s="178">
        <f t="shared" si="368"/>
        <v>5.8027287203242626</v>
      </c>
      <c r="Q268" s="223">
        <f t="shared" si="338"/>
        <v>0.13931154269032453</v>
      </c>
      <c r="R268" s="223">
        <f t="shared" si="369"/>
        <v>0.27862308538064906</v>
      </c>
      <c r="S268" s="223">
        <f t="shared" si="370"/>
        <v>24</v>
      </c>
      <c r="T268" s="223">
        <f t="shared" si="371"/>
        <v>0.59535626695605004</v>
      </c>
      <c r="U268" s="223">
        <f t="shared" si="342"/>
        <v>1.8654496364622901</v>
      </c>
      <c r="V268" s="223">
        <f t="shared" si="343"/>
        <v>1.153886373069458</v>
      </c>
      <c r="W268" s="203">
        <f t="shared" si="344"/>
        <v>350</v>
      </c>
      <c r="X268" s="454">
        <f t="shared" si="345"/>
        <v>331.19864660412026</v>
      </c>
      <c r="Z268" s="223">
        <f t="shared" si="346"/>
        <v>0.56337482818035733</v>
      </c>
      <c r="AA268" s="179">
        <f t="shared" si="347"/>
        <v>1.0919017288444037</v>
      </c>
      <c r="AB268" s="179">
        <f t="shared" si="372"/>
        <v>5.6388745313775496E-2</v>
      </c>
      <c r="AC268" s="179"/>
      <c r="AD268" s="179">
        <f t="shared" si="349"/>
        <v>0.56206185567010303</v>
      </c>
      <c r="AE268" s="563">
        <f t="shared" si="373"/>
        <v>701.84936878589326</v>
      </c>
      <c r="AF268" s="546">
        <f t="shared" si="374"/>
        <v>2.8524639175257726E-2</v>
      </c>
      <c r="AH268" s="179">
        <f t="shared" si="375"/>
        <v>0.56448055579651324</v>
      </c>
      <c r="AI268" s="179">
        <f t="shared" si="376"/>
        <v>0.59535626695605004</v>
      </c>
      <c r="AJ268" s="179">
        <f t="shared" si="377"/>
        <v>1.4261898273748519</v>
      </c>
      <c r="AL268" s="563">
        <f t="shared" si="378"/>
        <v>57.2</v>
      </c>
      <c r="AM268" s="472">
        <f t="shared" si="379"/>
        <v>331.19864660412026</v>
      </c>
      <c r="AO268">
        <f t="shared" si="357"/>
        <v>57.2</v>
      </c>
      <c r="AP268">
        <f t="shared" si="358"/>
        <v>331.19864660412026</v>
      </c>
      <c r="AR268" s="6">
        <f t="shared" si="382"/>
        <v>3.0193360095317479</v>
      </c>
      <c r="AS268" s="6">
        <f t="shared" si="361"/>
        <v>1.8654496364622901</v>
      </c>
      <c r="AT268" s="6">
        <f t="shared" si="362"/>
        <v>1.1538863730694577</v>
      </c>
      <c r="AU268" s="179">
        <f t="shared" si="363"/>
        <v>0.61783439490445857</v>
      </c>
      <c r="CD268" s="581">
        <f t="shared" si="380"/>
        <v>-50</v>
      </c>
    </row>
    <row r="269" spans="5:82" x14ac:dyDescent="0.2">
      <c r="E269" s="176">
        <v>53</v>
      </c>
      <c r="F269" s="223">
        <f t="shared" si="381"/>
        <v>5.8300000000000005E-2</v>
      </c>
      <c r="G269" s="223">
        <f t="shared" si="364"/>
        <v>0.10600000000000001</v>
      </c>
      <c r="H269" s="223">
        <f t="shared" si="365"/>
        <v>1.3992</v>
      </c>
      <c r="I269" s="223">
        <f t="shared" si="366"/>
        <v>1.2720000000000002</v>
      </c>
      <c r="J269" s="559">
        <f t="shared" si="332"/>
        <v>15</v>
      </c>
      <c r="K269" s="454">
        <f t="shared" si="333"/>
        <v>24.25</v>
      </c>
      <c r="L269" s="454">
        <f t="shared" si="334"/>
        <v>39.25</v>
      </c>
      <c r="M269" s="454"/>
      <c r="N269" s="223">
        <f t="shared" si="335"/>
        <v>0.61783439490445857</v>
      </c>
      <c r="O269" s="178">
        <f t="shared" si="367"/>
        <v>3.3434770245677887</v>
      </c>
      <c r="P269" s="178">
        <f t="shared" si="368"/>
        <v>5.8027287203242626</v>
      </c>
      <c r="Q269" s="223">
        <f t="shared" si="338"/>
        <v>0.13931154269032453</v>
      </c>
      <c r="R269" s="223">
        <f t="shared" si="369"/>
        <v>0.27862308538064906</v>
      </c>
      <c r="S269" s="223">
        <f t="shared" si="370"/>
        <v>24</v>
      </c>
      <c r="T269" s="223">
        <f t="shared" si="371"/>
        <v>0.60680542593597409</v>
      </c>
      <c r="U269" s="223">
        <f t="shared" si="342"/>
        <v>1.9013236679327188</v>
      </c>
      <c r="V269" s="223">
        <f t="shared" si="343"/>
        <v>1.1760764956284857</v>
      </c>
      <c r="W269" s="203">
        <f t="shared" si="344"/>
        <v>350</v>
      </c>
      <c r="X269" s="454">
        <f t="shared" si="345"/>
        <v>324.94961553611802</v>
      </c>
      <c r="Z269" s="223">
        <f t="shared" si="346"/>
        <v>0.56337482818035733</v>
      </c>
      <c r="AA269" s="179">
        <f t="shared" si="347"/>
        <v>1.0919017288444037</v>
      </c>
      <c r="AB269" s="179">
        <f t="shared" si="372"/>
        <v>5.6388745313775496E-2</v>
      </c>
      <c r="AC269" s="179"/>
      <c r="AD269" s="179">
        <f t="shared" si="349"/>
        <v>0.56206185567010303</v>
      </c>
      <c r="AE269" s="563">
        <f t="shared" si="373"/>
        <v>715.34647203177599</v>
      </c>
      <c r="AF269" s="546">
        <f t="shared" si="374"/>
        <v>2.8524639175257726E-2</v>
      </c>
      <c r="AH269" s="179">
        <f t="shared" si="375"/>
        <v>0.56988240668300028</v>
      </c>
      <c r="AI269" s="179">
        <f t="shared" si="376"/>
        <v>0.60680542593597409</v>
      </c>
      <c r="AJ269" s="179">
        <f t="shared" si="377"/>
        <v>1.4346706858784992</v>
      </c>
      <c r="AL269" s="563">
        <f t="shared" si="378"/>
        <v>58.300000000000004</v>
      </c>
      <c r="AM269" s="472">
        <f t="shared" si="379"/>
        <v>324.94961553611802</v>
      </c>
      <c r="AO269">
        <f t="shared" si="357"/>
        <v>58.300000000000004</v>
      </c>
      <c r="AP269">
        <f t="shared" si="358"/>
        <v>324.94961553611802</v>
      </c>
      <c r="AR269" s="6">
        <f t="shared" si="382"/>
        <v>3.077400163561204</v>
      </c>
      <c r="AS269" s="6">
        <f t="shared" si="361"/>
        <v>1.9013236679327188</v>
      </c>
      <c r="AT269" s="6">
        <f t="shared" si="362"/>
        <v>1.1760764956284853</v>
      </c>
      <c r="AU269" s="179">
        <f t="shared" si="363"/>
        <v>0.61783439490445868</v>
      </c>
      <c r="CD269" s="581">
        <f t="shared" si="380"/>
        <v>-50</v>
      </c>
    </row>
    <row r="270" spans="5:82" x14ac:dyDescent="0.2">
      <c r="E270" s="176">
        <v>54</v>
      </c>
      <c r="F270" s="223">
        <f t="shared" si="381"/>
        <v>5.9400000000000001E-2</v>
      </c>
      <c r="G270" s="223">
        <f t="shared" si="364"/>
        <v>0.10800000000000001</v>
      </c>
      <c r="H270" s="223">
        <f t="shared" si="365"/>
        <v>1.4256</v>
      </c>
      <c r="I270" s="223">
        <f t="shared" si="366"/>
        <v>1.2960000000000003</v>
      </c>
      <c r="J270" s="559">
        <f t="shared" si="332"/>
        <v>15</v>
      </c>
      <c r="K270" s="454">
        <f t="shared" si="333"/>
        <v>24.25</v>
      </c>
      <c r="L270" s="454">
        <f t="shared" si="334"/>
        <v>39.25</v>
      </c>
      <c r="M270" s="454"/>
      <c r="N270" s="223">
        <f t="shared" si="335"/>
        <v>0.61783439490445857</v>
      </c>
      <c r="O270" s="178">
        <f t="shared" si="367"/>
        <v>3.3434770245677887</v>
      </c>
      <c r="P270" s="178">
        <f t="shared" si="368"/>
        <v>5.8027287203242626</v>
      </c>
      <c r="Q270" s="223">
        <f t="shared" si="338"/>
        <v>0.13931154269032453</v>
      </c>
      <c r="R270" s="223">
        <f t="shared" si="369"/>
        <v>0.27862308538064906</v>
      </c>
      <c r="S270" s="223">
        <f t="shared" si="370"/>
        <v>24</v>
      </c>
      <c r="T270" s="223">
        <f t="shared" si="371"/>
        <v>0.61825458491589813</v>
      </c>
      <c r="U270" s="223">
        <f t="shared" si="342"/>
        <v>1.9371976994031475</v>
      </c>
      <c r="V270" s="223">
        <f t="shared" si="343"/>
        <v>1.1982666181875139</v>
      </c>
      <c r="W270" s="203">
        <f t="shared" si="344"/>
        <v>350</v>
      </c>
      <c r="X270" s="454">
        <f t="shared" si="345"/>
        <v>318.93203006322688</v>
      </c>
      <c r="Z270" s="223">
        <f t="shared" si="346"/>
        <v>0.56337482818035733</v>
      </c>
      <c r="AA270" s="179">
        <f t="shared" si="347"/>
        <v>1.0919017288444037</v>
      </c>
      <c r="AB270" s="179">
        <f t="shared" si="372"/>
        <v>5.6388745313775496E-2</v>
      </c>
      <c r="AC270" s="179"/>
      <c r="AD270" s="179">
        <f t="shared" si="349"/>
        <v>0.56206185567010303</v>
      </c>
      <c r="AE270" s="563">
        <f t="shared" si="373"/>
        <v>728.84357527765849</v>
      </c>
      <c r="AF270" s="546">
        <f t="shared" si="374"/>
        <v>2.8524639175257726E-2</v>
      </c>
      <c r="AH270" s="179">
        <f t="shared" si="375"/>
        <v>0.57523353259461207</v>
      </c>
      <c r="AI270" s="179">
        <f t="shared" si="376"/>
        <v>0.61825458491589813</v>
      </c>
      <c r="AJ270" s="179">
        <f t="shared" si="377"/>
        <v>1.4431515443821468</v>
      </c>
      <c r="AL270" s="563">
        <f t="shared" si="378"/>
        <v>59.4</v>
      </c>
      <c r="AM270" s="472">
        <f t="shared" si="379"/>
        <v>318.93203006322688</v>
      </c>
      <c r="AO270">
        <f t="shared" si="357"/>
        <v>59.4</v>
      </c>
      <c r="AP270">
        <f t="shared" si="358"/>
        <v>318.93203006322688</v>
      </c>
      <c r="AR270" s="6">
        <f t="shared" si="382"/>
        <v>3.1354643175906616</v>
      </c>
      <c r="AS270" s="6">
        <f t="shared" si="361"/>
        <v>1.9371976994031475</v>
      </c>
      <c r="AT270" s="6">
        <f t="shared" si="362"/>
        <v>1.1982666181875141</v>
      </c>
      <c r="AU270" s="179">
        <f t="shared" si="363"/>
        <v>0.61783439490445857</v>
      </c>
      <c r="CD270" s="581">
        <f t="shared" si="380"/>
        <v>-50</v>
      </c>
    </row>
    <row r="271" spans="5:82" x14ac:dyDescent="0.2">
      <c r="E271" s="176">
        <v>55</v>
      </c>
      <c r="F271" s="223">
        <f t="shared" si="381"/>
        <v>6.0500000000000005E-2</v>
      </c>
      <c r="G271" s="223">
        <f t="shared" si="364"/>
        <v>0.11000000000000001</v>
      </c>
      <c r="H271" s="223">
        <f t="shared" si="365"/>
        <v>1.4520000000000002</v>
      </c>
      <c r="I271" s="223">
        <f t="shared" si="366"/>
        <v>1.3200000000000003</v>
      </c>
      <c r="J271" s="559">
        <f t="shared" si="332"/>
        <v>15</v>
      </c>
      <c r="K271" s="454">
        <f t="shared" si="333"/>
        <v>24.25</v>
      </c>
      <c r="L271" s="454">
        <f t="shared" si="334"/>
        <v>39.25</v>
      </c>
      <c r="M271" s="454"/>
      <c r="N271" s="223">
        <f t="shared" si="335"/>
        <v>0.61783439490445857</v>
      </c>
      <c r="O271" s="178">
        <f t="shared" si="367"/>
        <v>3.3434770245677887</v>
      </c>
      <c r="P271" s="178">
        <f t="shared" si="368"/>
        <v>5.8027287203242626</v>
      </c>
      <c r="Q271" s="223">
        <f t="shared" si="338"/>
        <v>0.13931154269032453</v>
      </c>
      <c r="R271" s="223">
        <f t="shared" si="369"/>
        <v>0.27862308538064906</v>
      </c>
      <c r="S271" s="223">
        <f t="shared" si="370"/>
        <v>24</v>
      </c>
      <c r="T271" s="223">
        <f t="shared" si="371"/>
        <v>0.62970374389582218</v>
      </c>
      <c r="U271" s="223">
        <f t="shared" si="342"/>
        <v>1.9730717308735759</v>
      </c>
      <c r="V271" s="223">
        <f t="shared" si="343"/>
        <v>1.2204567407465421</v>
      </c>
      <c r="W271" s="203">
        <f t="shared" si="344"/>
        <v>350</v>
      </c>
      <c r="X271" s="454">
        <f t="shared" si="345"/>
        <v>313.13326588025916</v>
      </c>
      <c r="Z271" s="223">
        <f t="shared" si="346"/>
        <v>0.56337482818035733</v>
      </c>
      <c r="AA271" s="179">
        <f t="shared" si="347"/>
        <v>1.0919017288444037</v>
      </c>
      <c r="AB271" s="179">
        <f t="shared" si="372"/>
        <v>5.6388745313775496E-2</v>
      </c>
      <c r="AC271" s="179"/>
      <c r="AD271" s="179">
        <f t="shared" si="349"/>
        <v>0.56206185567010303</v>
      </c>
      <c r="AE271" s="563">
        <f t="shared" si="373"/>
        <v>742.3406785235411</v>
      </c>
      <c r="AF271" s="546">
        <f t="shared" si="374"/>
        <v>2.8524639175257726E-2</v>
      </c>
      <c r="AH271" s="179">
        <f t="shared" si="375"/>
        <v>0.58053533621627607</v>
      </c>
      <c r="AI271" s="179">
        <f t="shared" si="376"/>
        <v>0.62970374389582218</v>
      </c>
      <c r="AJ271" s="179">
        <f t="shared" si="377"/>
        <v>1.4516324028857941</v>
      </c>
      <c r="AL271" s="563">
        <f t="shared" si="378"/>
        <v>60.500000000000007</v>
      </c>
      <c r="AM271" s="472">
        <f t="shared" si="379"/>
        <v>313.13326588025916</v>
      </c>
      <c r="AO271">
        <f t="shared" si="357"/>
        <v>60.500000000000007</v>
      </c>
      <c r="AP271">
        <f t="shared" si="358"/>
        <v>313.13326588025916</v>
      </c>
      <c r="AR271" s="6">
        <f t="shared" si="382"/>
        <v>3.1935284716201178</v>
      </c>
      <c r="AS271" s="6">
        <f t="shared" si="361"/>
        <v>1.9730717308735759</v>
      </c>
      <c r="AT271" s="6">
        <f t="shared" si="362"/>
        <v>1.2204567407465419</v>
      </c>
      <c r="AU271" s="179">
        <f t="shared" si="363"/>
        <v>0.61783439490445857</v>
      </c>
      <c r="CD271" s="581">
        <f t="shared" si="380"/>
        <v>-50</v>
      </c>
    </row>
    <row r="272" spans="5:82" x14ac:dyDescent="0.2">
      <c r="E272" s="176">
        <v>56</v>
      </c>
      <c r="F272" s="223">
        <f t="shared" si="381"/>
        <v>6.1600000000000009E-2</v>
      </c>
      <c r="G272" s="223">
        <f t="shared" si="364"/>
        <v>0.11200000000000002</v>
      </c>
      <c r="H272" s="223">
        <f t="shared" si="365"/>
        <v>1.4784000000000002</v>
      </c>
      <c r="I272" s="223">
        <f t="shared" si="366"/>
        <v>1.3440000000000003</v>
      </c>
      <c r="J272" s="559">
        <f t="shared" si="332"/>
        <v>15</v>
      </c>
      <c r="K272" s="454">
        <f t="shared" si="333"/>
        <v>24.25</v>
      </c>
      <c r="L272" s="454">
        <f t="shared" si="334"/>
        <v>39.25</v>
      </c>
      <c r="M272" s="454"/>
      <c r="N272" s="223">
        <f t="shared" si="335"/>
        <v>0.61783439490445857</v>
      </c>
      <c r="O272" s="178">
        <f t="shared" si="367"/>
        <v>3.3434770245677887</v>
      </c>
      <c r="P272" s="178">
        <f t="shared" si="368"/>
        <v>5.8027287203242626</v>
      </c>
      <c r="Q272" s="223">
        <f t="shared" si="338"/>
        <v>0.13931154269032453</v>
      </c>
      <c r="R272" s="223">
        <f t="shared" si="369"/>
        <v>0.27862308538064906</v>
      </c>
      <c r="S272" s="223">
        <f t="shared" si="370"/>
        <v>24</v>
      </c>
      <c r="T272" s="223">
        <f t="shared" si="371"/>
        <v>0.64115290287574622</v>
      </c>
      <c r="U272" s="223">
        <f t="shared" si="342"/>
        <v>2.0089457623440046</v>
      </c>
      <c r="V272" s="223">
        <f t="shared" si="343"/>
        <v>1.2426468633055698</v>
      </c>
      <c r="W272" s="203">
        <f t="shared" si="344"/>
        <v>350</v>
      </c>
      <c r="X272" s="454">
        <f t="shared" si="345"/>
        <v>307.54160041811167</v>
      </c>
      <c r="Z272" s="223">
        <f t="shared" si="346"/>
        <v>0.56337482818035733</v>
      </c>
      <c r="AA272" s="179">
        <f t="shared" si="347"/>
        <v>1.0919017288444037</v>
      </c>
      <c r="AB272" s="179">
        <f t="shared" si="372"/>
        <v>5.6388745313775496E-2</v>
      </c>
      <c r="AC272" s="179"/>
      <c r="AD272" s="179">
        <f t="shared" si="349"/>
        <v>0.56206185567010303</v>
      </c>
      <c r="AE272" s="563">
        <f t="shared" si="373"/>
        <v>755.83778176942371</v>
      </c>
      <c r="AF272" s="546">
        <f t="shared" si="374"/>
        <v>2.8524639175257726E-2</v>
      </c>
      <c r="AH272" s="179">
        <f t="shared" si="375"/>
        <v>0.58578915675370169</v>
      </c>
      <c r="AI272" s="179">
        <f t="shared" si="376"/>
        <v>0.64115290287574622</v>
      </c>
      <c r="AJ272" s="179">
        <f t="shared" si="377"/>
        <v>1.4601132613894416</v>
      </c>
      <c r="AL272" s="563">
        <f t="shared" si="378"/>
        <v>61.600000000000009</v>
      </c>
      <c r="AM272" s="472">
        <f t="shared" si="379"/>
        <v>307.54160041811167</v>
      </c>
      <c r="AO272">
        <f t="shared" si="357"/>
        <v>61.600000000000009</v>
      </c>
      <c r="AP272">
        <f t="shared" si="358"/>
        <v>307.54160041811167</v>
      </c>
      <c r="AR272" s="6">
        <f t="shared" si="382"/>
        <v>3.2515926256495744</v>
      </c>
      <c r="AS272" s="6">
        <f t="shared" si="361"/>
        <v>2.0089457623440046</v>
      </c>
      <c r="AT272" s="6">
        <f t="shared" si="362"/>
        <v>1.2426468633055698</v>
      </c>
      <c r="AU272" s="179">
        <f t="shared" si="363"/>
        <v>0.61783439490445857</v>
      </c>
      <c r="CD272" s="581">
        <f t="shared" si="380"/>
        <v>-50</v>
      </c>
    </row>
    <row r="273" spans="5:82" x14ac:dyDescent="0.2">
      <c r="E273" s="176">
        <v>57</v>
      </c>
      <c r="F273" s="223">
        <f t="shared" si="381"/>
        <v>6.2699999999999992E-2</v>
      </c>
      <c r="G273" s="223">
        <f t="shared" si="364"/>
        <v>0.11399999999999999</v>
      </c>
      <c r="H273" s="223">
        <f t="shared" si="365"/>
        <v>1.5047999999999999</v>
      </c>
      <c r="I273" s="223">
        <f t="shared" si="366"/>
        <v>1.3679999999999999</v>
      </c>
      <c r="J273" s="559">
        <f t="shared" si="332"/>
        <v>15</v>
      </c>
      <c r="K273" s="454">
        <f t="shared" si="333"/>
        <v>24.25</v>
      </c>
      <c r="L273" s="454">
        <f t="shared" si="334"/>
        <v>39.25</v>
      </c>
      <c r="M273" s="454"/>
      <c r="N273" s="223">
        <f t="shared" si="335"/>
        <v>0.61783439490445857</v>
      </c>
      <c r="O273" s="178">
        <f t="shared" si="367"/>
        <v>3.3434770245677887</v>
      </c>
      <c r="P273" s="178">
        <f t="shared" si="368"/>
        <v>5.8027287203242626</v>
      </c>
      <c r="Q273" s="223">
        <f t="shared" si="338"/>
        <v>0.13931154269032453</v>
      </c>
      <c r="R273" s="223">
        <f t="shared" si="369"/>
        <v>0.27862308538064906</v>
      </c>
      <c r="S273" s="223">
        <f t="shared" si="370"/>
        <v>24</v>
      </c>
      <c r="T273" s="223">
        <f t="shared" si="371"/>
        <v>0.65260206185567016</v>
      </c>
      <c r="U273" s="223">
        <f t="shared" si="342"/>
        <v>2.0448197938144332</v>
      </c>
      <c r="V273" s="223">
        <f t="shared" si="343"/>
        <v>1.2648369858645978</v>
      </c>
      <c r="W273" s="203">
        <f t="shared" si="344"/>
        <v>350</v>
      </c>
      <c r="X273" s="454">
        <f t="shared" si="345"/>
        <v>302.1461337441097</v>
      </c>
      <c r="Z273" s="223">
        <f t="shared" si="346"/>
        <v>0.56337482818035733</v>
      </c>
      <c r="AA273" s="179">
        <f t="shared" si="347"/>
        <v>1.0919017288444037</v>
      </c>
      <c r="AB273" s="179">
        <f t="shared" si="372"/>
        <v>5.6388745313775496E-2</v>
      </c>
      <c r="AC273" s="179"/>
      <c r="AD273" s="179">
        <f t="shared" si="349"/>
        <v>0.56206185567010303</v>
      </c>
      <c r="AE273" s="563">
        <f t="shared" si="373"/>
        <v>769.3348850153061</v>
      </c>
      <c r="AF273" s="546">
        <f t="shared" si="374"/>
        <v>2.8524639175257726E-2</v>
      </c>
      <c r="AH273" s="179">
        <f t="shared" si="375"/>
        <v>0.59099627388392295</v>
      </c>
      <c r="AI273" s="179">
        <f t="shared" si="376"/>
        <v>0.65260206185567016</v>
      </c>
      <c r="AJ273" s="179">
        <f t="shared" si="377"/>
        <v>1.468594119893089</v>
      </c>
      <c r="AL273" s="563">
        <f t="shared" si="378"/>
        <v>62.699999999999989</v>
      </c>
      <c r="AM273" s="472">
        <f t="shared" si="379"/>
        <v>302.1461337441097</v>
      </c>
      <c r="AO273">
        <f t="shared" si="357"/>
        <v>62.699999999999989</v>
      </c>
      <c r="AP273">
        <f t="shared" si="358"/>
        <v>302.1461337441097</v>
      </c>
      <c r="AR273" s="6">
        <f t="shared" si="382"/>
        <v>3.309656779679031</v>
      </c>
      <c r="AS273" s="6">
        <f t="shared" si="361"/>
        <v>2.0448197938144332</v>
      </c>
      <c r="AT273" s="6">
        <f t="shared" si="362"/>
        <v>1.2648369858645978</v>
      </c>
      <c r="AU273" s="179">
        <f t="shared" si="363"/>
        <v>0.61783439490445857</v>
      </c>
      <c r="CD273" s="581">
        <f t="shared" si="380"/>
        <v>-50</v>
      </c>
    </row>
    <row r="274" spans="5:82" x14ac:dyDescent="0.2">
      <c r="E274" s="176">
        <v>58</v>
      </c>
      <c r="F274" s="223">
        <f t="shared" si="381"/>
        <v>6.3799999999999996E-2</v>
      </c>
      <c r="G274" s="223">
        <f t="shared" si="364"/>
        <v>0.11599999999999999</v>
      </c>
      <c r="H274" s="223">
        <f t="shared" si="365"/>
        <v>1.5311999999999999</v>
      </c>
      <c r="I274" s="223">
        <f t="shared" si="366"/>
        <v>1.3919999999999999</v>
      </c>
      <c r="J274" s="559">
        <f t="shared" si="332"/>
        <v>15</v>
      </c>
      <c r="K274" s="454">
        <f t="shared" si="333"/>
        <v>24.25</v>
      </c>
      <c r="L274" s="454">
        <f t="shared" si="334"/>
        <v>39.25</v>
      </c>
      <c r="M274" s="454"/>
      <c r="N274" s="223">
        <f t="shared" si="335"/>
        <v>0.61783439490445857</v>
      </c>
      <c r="O274" s="178">
        <f t="shared" si="367"/>
        <v>3.3434770245677887</v>
      </c>
      <c r="P274" s="178">
        <f t="shared" si="368"/>
        <v>5.8027287203242626</v>
      </c>
      <c r="Q274" s="223">
        <f t="shared" si="338"/>
        <v>0.13931154269032453</v>
      </c>
      <c r="R274" s="223">
        <f t="shared" si="369"/>
        <v>0.27862308538064906</v>
      </c>
      <c r="S274" s="223">
        <f t="shared" si="370"/>
        <v>24</v>
      </c>
      <c r="T274" s="223">
        <f t="shared" si="371"/>
        <v>0.66405122083559409</v>
      </c>
      <c r="U274" s="223">
        <f t="shared" si="342"/>
        <v>2.0806938252848615</v>
      </c>
      <c r="V274" s="223">
        <f t="shared" si="343"/>
        <v>1.2870271084236258</v>
      </c>
      <c r="W274" s="203">
        <f t="shared" si="344"/>
        <v>350</v>
      </c>
      <c r="X274" s="454">
        <f t="shared" si="345"/>
        <v>296.93671764507337</v>
      </c>
      <c r="Z274" s="223">
        <f t="shared" si="346"/>
        <v>0.56337482818035733</v>
      </c>
      <c r="AA274" s="179">
        <f t="shared" si="347"/>
        <v>1.0919017288444037</v>
      </c>
      <c r="AB274" s="179">
        <f t="shared" si="372"/>
        <v>5.6388745313775496E-2</v>
      </c>
      <c r="AC274" s="179"/>
      <c r="AD274" s="179">
        <f t="shared" si="349"/>
        <v>0.56206185567010303</v>
      </c>
      <c r="AE274" s="563">
        <f t="shared" si="373"/>
        <v>782.8319882611886</v>
      </c>
      <c r="AF274" s="546">
        <f t="shared" si="374"/>
        <v>2.8524639175257726E-2</v>
      </c>
      <c r="AH274" s="179">
        <f t="shared" si="375"/>
        <v>0.59615791139525176</v>
      </c>
      <c r="AI274" s="179">
        <f t="shared" si="376"/>
        <v>0.66405122083559409</v>
      </c>
      <c r="AJ274" s="179">
        <f t="shared" si="377"/>
        <v>1.4770749783967363</v>
      </c>
      <c r="AL274" s="563">
        <f t="shared" si="378"/>
        <v>63.8</v>
      </c>
      <c r="AM274" s="472">
        <f t="shared" si="379"/>
        <v>296.93671764507337</v>
      </c>
      <c r="AO274">
        <f t="shared" si="357"/>
        <v>63.8</v>
      </c>
      <c r="AP274">
        <f t="shared" si="358"/>
        <v>296.93671764507337</v>
      </c>
      <c r="AR274" s="6">
        <f t="shared" si="382"/>
        <v>3.3677209337084877</v>
      </c>
      <c r="AS274" s="6">
        <f t="shared" si="361"/>
        <v>2.0806938252848615</v>
      </c>
      <c r="AT274" s="6">
        <f t="shared" si="362"/>
        <v>1.2870271084236262</v>
      </c>
      <c r="AU274" s="179">
        <f t="shared" si="363"/>
        <v>0.61783439490445846</v>
      </c>
      <c r="CD274" s="581">
        <f t="shared" si="380"/>
        <v>-50</v>
      </c>
    </row>
    <row r="275" spans="5:82" x14ac:dyDescent="0.2">
      <c r="E275" s="176">
        <v>59</v>
      </c>
      <c r="F275" s="223">
        <f t="shared" si="381"/>
        <v>6.4899999999999999E-2</v>
      </c>
      <c r="G275" s="223">
        <f t="shared" si="364"/>
        <v>0.11799999999999999</v>
      </c>
      <c r="H275" s="223">
        <f t="shared" si="365"/>
        <v>1.5575999999999999</v>
      </c>
      <c r="I275" s="223">
        <f t="shared" si="366"/>
        <v>1.4159999999999999</v>
      </c>
      <c r="J275" s="559">
        <f t="shared" si="332"/>
        <v>15</v>
      </c>
      <c r="K275" s="454">
        <f t="shared" si="333"/>
        <v>24.25</v>
      </c>
      <c r="L275" s="454">
        <f t="shared" si="334"/>
        <v>39.25</v>
      </c>
      <c r="M275" s="454"/>
      <c r="N275" s="223">
        <f t="shared" si="335"/>
        <v>0.61783439490445857</v>
      </c>
      <c r="O275" s="178">
        <f t="shared" si="367"/>
        <v>3.3434770245677887</v>
      </c>
      <c r="P275" s="178">
        <f t="shared" si="368"/>
        <v>5.8027287203242626</v>
      </c>
      <c r="Q275" s="223">
        <f t="shared" si="338"/>
        <v>0.13931154269032453</v>
      </c>
      <c r="R275" s="223">
        <f t="shared" si="369"/>
        <v>0.27862308538064906</v>
      </c>
      <c r="S275" s="223">
        <f t="shared" si="370"/>
        <v>24</v>
      </c>
      <c r="T275" s="223">
        <f t="shared" si="371"/>
        <v>0.67550037981551825</v>
      </c>
      <c r="U275" s="223">
        <f t="shared" si="342"/>
        <v>2.1165678567552906</v>
      </c>
      <c r="V275" s="223">
        <f t="shared" si="343"/>
        <v>1.309217230982654</v>
      </c>
      <c r="W275" s="203">
        <f t="shared" si="344"/>
        <v>350</v>
      </c>
      <c r="X275" s="454">
        <f t="shared" si="345"/>
        <v>291.90389192227548</v>
      </c>
      <c r="Z275" s="223">
        <f t="shared" si="346"/>
        <v>0.56337482818035733</v>
      </c>
      <c r="AA275" s="179">
        <f t="shared" si="347"/>
        <v>1.0919017288444037</v>
      </c>
      <c r="AB275" s="179">
        <f t="shared" si="372"/>
        <v>5.6388745313775496E-2</v>
      </c>
      <c r="AC275" s="179"/>
      <c r="AD275" s="179">
        <f t="shared" si="349"/>
        <v>0.56206185567010303</v>
      </c>
      <c r="AE275" s="563">
        <f t="shared" si="373"/>
        <v>796.32909150707133</v>
      </c>
      <c r="AF275" s="546">
        <f t="shared" si="374"/>
        <v>2.8524639175257726E-2</v>
      </c>
      <c r="AH275" s="179">
        <f t="shared" si="375"/>
        <v>0.60127524054597248</v>
      </c>
      <c r="AI275" s="179">
        <f t="shared" si="376"/>
        <v>0.67550037981551825</v>
      </c>
      <c r="AJ275" s="179">
        <f t="shared" si="377"/>
        <v>1.4855558369003838</v>
      </c>
      <c r="AL275" s="563">
        <f t="shared" si="378"/>
        <v>64.900000000000006</v>
      </c>
      <c r="AM275" s="472">
        <f t="shared" si="379"/>
        <v>291.90389192227548</v>
      </c>
      <c r="AO275">
        <f t="shared" si="357"/>
        <v>64.900000000000006</v>
      </c>
      <c r="AP275">
        <f t="shared" si="358"/>
        <v>291.90389192227548</v>
      </c>
      <c r="AR275" s="6">
        <f t="shared" si="382"/>
        <v>3.4257850877379448</v>
      </c>
      <c r="AS275" s="6">
        <f t="shared" si="361"/>
        <v>2.1165678567552906</v>
      </c>
      <c r="AT275" s="6">
        <f t="shared" si="362"/>
        <v>1.3092172309826542</v>
      </c>
      <c r="AU275" s="179">
        <f t="shared" si="363"/>
        <v>0.61783439490445857</v>
      </c>
      <c r="CD275" s="581">
        <f t="shared" si="380"/>
        <v>-50</v>
      </c>
    </row>
    <row r="276" spans="5:82" x14ac:dyDescent="0.2">
      <c r="E276" s="176">
        <v>60</v>
      </c>
      <c r="F276" s="223">
        <f t="shared" si="381"/>
        <v>6.6000000000000003E-2</v>
      </c>
      <c r="G276" s="223">
        <f t="shared" si="364"/>
        <v>0.12</v>
      </c>
      <c r="H276" s="223">
        <f t="shared" si="365"/>
        <v>1.5840000000000001</v>
      </c>
      <c r="I276" s="223">
        <f t="shared" si="366"/>
        <v>1.44</v>
      </c>
      <c r="J276" s="559">
        <f t="shared" si="332"/>
        <v>15</v>
      </c>
      <c r="K276" s="454">
        <f t="shared" si="333"/>
        <v>24.25</v>
      </c>
      <c r="L276" s="454">
        <f t="shared" si="334"/>
        <v>39.25</v>
      </c>
      <c r="M276" s="454"/>
      <c r="N276" s="223">
        <f t="shared" si="335"/>
        <v>0.61783439490445857</v>
      </c>
      <c r="O276" s="178">
        <f t="shared" si="367"/>
        <v>3.3434770245677887</v>
      </c>
      <c r="P276" s="178">
        <f t="shared" si="368"/>
        <v>5.8027287203242626</v>
      </c>
      <c r="Q276" s="223">
        <f t="shared" si="338"/>
        <v>0.13931154269032453</v>
      </c>
      <c r="R276" s="223">
        <f t="shared" si="369"/>
        <v>0.27862308538064906</v>
      </c>
      <c r="S276" s="223">
        <f t="shared" si="370"/>
        <v>24</v>
      </c>
      <c r="T276" s="223">
        <f t="shared" si="371"/>
        <v>0.68694953879544229</v>
      </c>
      <c r="U276" s="223">
        <f t="shared" si="342"/>
        <v>2.1524418882257192</v>
      </c>
      <c r="V276" s="223">
        <f t="shared" si="343"/>
        <v>1.3314073535416819</v>
      </c>
      <c r="W276" s="203">
        <f t="shared" si="344"/>
        <v>350</v>
      </c>
      <c r="X276" s="454">
        <f t="shared" si="345"/>
        <v>287.03882705690427</v>
      </c>
      <c r="Z276" s="223">
        <f t="shared" si="346"/>
        <v>0.56337482818035733</v>
      </c>
      <c r="AA276" s="179">
        <f t="shared" si="347"/>
        <v>1.0919017288444037</v>
      </c>
      <c r="AB276" s="179">
        <f t="shared" si="372"/>
        <v>5.6388745313775496E-2</v>
      </c>
      <c r="AC276" s="179"/>
      <c r="AD276" s="179">
        <f t="shared" si="349"/>
        <v>0.56206185567010303</v>
      </c>
      <c r="AE276" s="563">
        <f t="shared" si="373"/>
        <v>809.82619475295371</v>
      </c>
      <c r="AF276" s="546">
        <f t="shared" si="374"/>
        <v>2.8524639175257726E-2</v>
      </c>
      <c r="AH276" s="179">
        <f t="shared" si="375"/>
        <v>0.60634938316789366</v>
      </c>
      <c r="AI276" s="179">
        <f t="shared" si="376"/>
        <v>0.68694953879544229</v>
      </c>
      <c r="AJ276" s="179">
        <f t="shared" si="377"/>
        <v>1.4940366954040314</v>
      </c>
      <c r="AL276" s="563">
        <f t="shared" si="378"/>
        <v>66</v>
      </c>
      <c r="AM276" s="472">
        <f t="shared" si="379"/>
        <v>287.03882705690427</v>
      </c>
      <c r="AO276">
        <f t="shared" si="357"/>
        <v>66</v>
      </c>
      <c r="AP276">
        <f t="shared" si="358"/>
        <v>287.03882705690427</v>
      </c>
      <c r="AR276" s="6">
        <f t="shared" si="382"/>
        <v>3.4838492417674005</v>
      </c>
      <c r="AS276" s="6">
        <f t="shared" si="361"/>
        <v>2.1524418882257192</v>
      </c>
      <c r="AT276" s="6">
        <f t="shared" si="362"/>
        <v>1.3314073535416813</v>
      </c>
      <c r="AU276" s="179">
        <f t="shared" si="363"/>
        <v>0.61783439490445868</v>
      </c>
      <c r="CD276" s="581">
        <f t="shared" si="380"/>
        <v>-50</v>
      </c>
    </row>
    <row r="277" spans="5:82" x14ac:dyDescent="0.2">
      <c r="E277" s="176">
        <v>61</v>
      </c>
      <c r="F277" s="223">
        <f t="shared" si="381"/>
        <v>6.7099999999999993E-2</v>
      </c>
      <c r="G277" s="223">
        <f t="shared" si="364"/>
        <v>0.122</v>
      </c>
      <c r="H277" s="223">
        <f t="shared" si="365"/>
        <v>1.6103999999999998</v>
      </c>
      <c r="I277" s="223">
        <f t="shared" si="366"/>
        <v>1.464</v>
      </c>
      <c r="J277" s="559">
        <f t="shared" si="332"/>
        <v>15</v>
      </c>
      <c r="K277" s="454">
        <f t="shared" si="333"/>
        <v>24.25</v>
      </c>
      <c r="L277" s="454">
        <f t="shared" si="334"/>
        <v>39.25</v>
      </c>
      <c r="M277" s="454"/>
      <c r="N277" s="223">
        <f t="shared" si="335"/>
        <v>0.61783439490445857</v>
      </c>
      <c r="O277" s="178">
        <f t="shared" si="367"/>
        <v>3.3434770245677887</v>
      </c>
      <c r="P277" s="178">
        <f t="shared" si="368"/>
        <v>5.8027287203242626</v>
      </c>
      <c r="Q277" s="223">
        <f t="shared" si="338"/>
        <v>0.13931154269032453</v>
      </c>
      <c r="R277" s="223">
        <f t="shared" si="369"/>
        <v>0.27862308538064906</v>
      </c>
      <c r="S277" s="223">
        <f t="shared" si="370"/>
        <v>24</v>
      </c>
      <c r="T277" s="223">
        <f t="shared" si="371"/>
        <v>0.69839869777536634</v>
      </c>
      <c r="U277" s="223">
        <f t="shared" si="342"/>
        <v>2.1883159196961479</v>
      </c>
      <c r="V277" s="223">
        <f t="shared" si="343"/>
        <v>1.3535974761007101</v>
      </c>
      <c r="W277" s="203">
        <f t="shared" si="344"/>
        <v>350</v>
      </c>
      <c r="X277" s="454">
        <f t="shared" si="345"/>
        <v>282.33327251498775</v>
      </c>
      <c r="Z277" s="223">
        <f t="shared" si="346"/>
        <v>0.56337482818035733</v>
      </c>
      <c r="AA277" s="179">
        <f t="shared" si="347"/>
        <v>1.0919017288444037</v>
      </c>
      <c r="AB277" s="179">
        <f t="shared" si="372"/>
        <v>5.6388745313775496E-2</v>
      </c>
      <c r="AC277" s="179"/>
      <c r="AD277" s="179">
        <f t="shared" si="349"/>
        <v>0.56206185567010303</v>
      </c>
      <c r="AE277" s="563">
        <f t="shared" si="373"/>
        <v>823.32329799883632</v>
      </c>
      <c r="AF277" s="546">
        <f t="shared" si="374"/>
        <v>2.8524639175257726E-2</v>
      </c>
      <c r="AH277" s="179">
        <f t="shared" si="375"/>
        <v>0.61138141453805517</v>
      </c>
      <c r="AI277" s="179">
        <f t="shared" si="376"/>
        <v>0.69839869777536634</v>
      </c>
      <c r="AJ277" s="179">
        <f t="shared" si="377"/>
        <v>1.5025175539076787</v>
      </c>
      <c r="AL277" s="563">
        <f t="shared" si="378"/>
        <v>67.099999999999994</v>
      </c>
      <c r="AM277" s="472">
        <f t="shared" si="379"/>
        <v>282.33327251498775</v>
      </c>
      <c r="AO277">
        <f t="shared" si="357"/>
        <v>67.099999999999994</v>
      </c>
      <c r="AP277">
        <f t="shared" si="358"/>
        <v>282.33327251498775</v>
      </c>
      <c r="AR277" s="6">
        <f t="shared" si="382"/>
        <v>3.541913395796858</v>
      </c>
      <c r="AS277" s="6">
        <f t="shared" si="361"/>
        <v>2.1883159196961479</v>
      </c>
      <c r="AT277" s="6">
        <f t="shared" si="362"/>
        <v>1.3535974761007101</v>
      </c>
      <c r="AU277" s="179">
        <f t="shared" si="363"/>
        <v>0.61783439490445857</v>
      </c>
      <c r="CD277" s="581">
        <f t="shared" si="380"/>
        <v>-50</v>
      </c>
    </row>
    <row r="278" spans="5:82" x14ac:dyDescent="0.2">
      <c r="E278" s="176">
        <v>62</v>
      </c>
      <c r="F278" s="223">
        <f t="shared" si="381"/>
        <v>6.8199999999999997E-2</v>
      </c>
      <c r="G278" s="223">
        <f t="shared" si="364"/>
        <v>0.124</v>
      </c>
      <c r="H278" s="223">
        <f t="shared" si="365"/>
        <v>1.6368</v>
      </c>
      <c r="I278" s="223">
        <f t="shared" si="366"/>
        <v>1.488</v>
      </c>
      <c r="J278" s="559">
        <f t="shared" si="332"/>
        <v>15</v>
      </c>
      <c r="K278" s="454">
        <f t="shared" si="333"/>
        <v>24.25</v>
      </c>
      <c r="L278" s="454">
        <f t="shared" si="334"/>
        <v>39.25</v>
      </c>
      <c r="M278" s="454"/>
      <c r="N278" s="223">
        <f t="shared" si="335"/>
        <v>0.61783439490445857</v>
      </c>
      <c r="O278" s="178">
        <f t="shared" si="367"/>
        <v>3.3434770245677887</v>
      </c>
      <c r="P278" s="178">
        <f t="shared" si="368"/>
        <v>5.8027287203242626</v>
      </c>
      <c r="Q278" s="223">
        <f t="shared" si="338"/>
        <v>0.13931154269032453</v>
      </c>
      <c r="R278" s="223">
        <f t="shared" si="369"/>
        <v>0.27862308538064906</v>
      </c>
      <c r="S278" s="223">
        <f t="shared" si="370"/>
        <v>24</v>
      </c>
      <c r="T278" s="223">
        <f t="shared" si="371"/>
        <v>0.70984785675529039</v>
      </c>
      <c r="U278" s="223">
        <f t="shared" si="342"/>
        <v>2.2241899511665766</v>
      </c>
      <c r="V278" s="223">
        <f t="shared" si="343"/>
        <v>1.3757875986597381</v>
      </c>
      <c r="W278" s="203">
        <f t="shared" si="344"/>
        <v>350</v>
      </c>
      <c r="X278" s="454">
        <f t="shared" si="345"/>
        <v>277.77951005506861</v>
      </c>
      <c r="Z278" s="223">
        <f t="shared" si="346"/>
        <v>0.56337482818035733</v>
      </c>
      <c r="AA278" s="179">
        <f t="shared" si="347"/>
        <v>1.0919017288444037</v>
      </c>
      <c r="AB278" s="179">
        <f t="shared" si="372"/>
        <v>5.6388745313775496E-2</v>
      </c>
      <c r="AC278" s="179"/>
      <c r="AD278" s="179">
        <f t="shared" si="349"/>
        <v>0.56206185567010303</v>
      </c>
      <c r="AE278" s="563">
        <f t="shared" si="373"/>
        <v>836.82040124471894</v>
      </c>
      <c r="AF278" s="546">
        <f t="shared" si="374"/>
        <v>2.8524639175257726E-2</v>
      </c>
      <c r="AH278" s="179">
        <f t="shared" si="375"/>
        <v>0.6163723660394107</v>
      </c>
      <c r="AI278" s="179">
        <f t="shared" si="376"/>
        <v>0.70984785675529039</v>
      </c>
      <c r="AJ278" s="179">
        <f t="shared" si="377"/>
        <v>1.5109984124113263</v>
      </c>
      <c r="AL278" s="563">
        <f t="shared" si="378"/>
        <v>68.2</v>
      </c>
      <c r="AM278" s="472">
        <f t="shared" si="379"/>
        <v>277.77951005506861</v>
      </c>
      <c r="AO278">
        <f t="shared" si="357"/>
        <v>68.2</v>
      </c>
      <c r="AP278">
        <f t="shared" si="358"/>
        <v>277.77951005506861</v>
      </c>
      <c r="AR278" s="6">
        <f t="shared" si="382"/>
        <v>3.5999775498263147</v>
      </c>
      <c r="AS278" s="6">
        <f t="shared" si="361"/>
        <v>2.2241899511665766</v>
      </c>
      <c r="AT278" s="6">
        <f t="shared" si="362"/>
        <v>1.3757875986597381</v>
      </c>
      <c r="AU278" s="179">
        <f t="shared" si="363"/>
        <v>0.61783439490445857</v>
      </c>
      <c r="CD278" s="581">
        <f t="shared" si="380"/>
        <v>-50</v>
      </c>
    </row>
    <row r="279" spans="5:82" x14ac:dyDescent="0.2">
      <c r="E279" s="176">
        <v>63</v>
      </c>
      <c r="F279" s="223">
        <f t="shared" si="381"/>
        <v>6.93E-2</v>
      </c>
      <c r="G279" s="223">
        <f t="shared" si="364"/>
        <v>0.126</v>
      </c>
      <c r="H279" s="223">
        <f t="shared" si="365"/>
        <v>1.6632</v>
      </c>
      <c r="I279" s="223">
        <f t="shared" si="366"/>
        <v>1.512</v>
      </c>
      <c r="J279" s="559">
        <f t="shared" si="332"/>
        <v>15</v>
      </c>
      <c r="K279" s="454">
        <f t="shared" si="333"/>
        <v>24.25</v>
      </c>
      <c r="L279" s="454">
        <f t="shared" si="334"/>
        <v>39.25</v>
      </c>
      <c r="M279" s="454"/>
      <c r="N279" s="223">
        <f t="shared" si="335"/>
        <v>0.61783439490445857</v>
      </c>
      <c r="O279" s="178">
        <f t="shared" si="367"/>
        <v>3.3434770245677887</v>
      </c>
      <c r="P279" s="178">
        <f t="shared" si="368"/>
        <v>5.8027287203242626</v>
      </c>
      <c r="Q279" s="223">
        <f t="shared" si="338"/>
        <v>0.13931154269032453</v>
      </c>
      <c r="R279" s="223">
        <f t="shared" si="369"/>
        <v>0.27862308538064906</v>
      </c>
      <c r="S279" s="223">
        <f t="shared" si="370"/>
        <v>24</v>
      </c>
      <c r="T279" s="223">
        <f t="shared" si="371"/>
        <v>0.72129701573521443</v>
      </c>
      <c r="U279" s="223">
        <f t="shared" si="342"/>
        <v>2.2600639826370053</v>
      </c>
      <c r="V279" s="223">
        <f t="shared" si="343"/>
        <v>1.3979777212187661</v>
      </c>
      <c r="W279" s="203">
        <f t="shared" si="344"/>
        <v>350</v>
      </c>
      <c r="X279" s="454">
        <f t="shared" si="345"/>
        <v>273.37031148276594</v>
      </c>
      <c r="Z279" s="223">
        <f t="shared" si="346"/>
        <v>0.56337482818035733</v>
      </c>
      <c r="AA279" s="179">
        <f t="shared" si="347"/>
        <v>1.0919017288444037</v>
      </c>
      <c r="AB279" s="179">
        <f t="shared" si="372"/>
        <v>5.6388745313775496E-2</v>
      </c>
      <c r="AC279" s="179"/>
      <c r="AD279" s="179">
        <f t="shared" si="349"/>
        <v>0.56206185567010303</v>
      </c>
      <c r="AE279" s="563">
        <f t="shared" si="373"/>
        <v>850.31750449060155</v>
      </c>
      <c r="AF279" s="546">
        <f t="shared" si="374"/>
        <v>2.8524639175257726E-2</v>
      </c>
      <c r="AH279" s="179">
        <f t="shared" si="375"/>
        <v>0.62132322762913783</v>
      </c>
      <c r="AI279" s="179">
        <f t="shared" si="376"/>
        <v>0.72129701573521443</v>
      </c>
      <c r="AJ279" s="179">
        <f t="shared" si="377"/>
        <v>1.5194792709149736</v>
      </c>
      <c r="AL279" s="563">
        <f t="shared" si="378"/>
        <v>69.3</v>
      </c>
      <c r="AM279" s="472">
        <f t="shared" si="379"/>
        <v>273.37031148276594</v>
      </c>
      <c r="AO279">
        <f t="shared" si="357"/>
        <v>69.3</v>
      </c>
      <c r="AP279">
        <f t="shared" si="358"/>
        <v>273.37031148276594</v>
      </c>
      <c r="AR279" s="6">
        <f t="shared" si="382"/>
        <v>3.6580417038557713</v>
      </c>
      <c r="AS279" s="6">
        <f t="shared" si="361"/>
        <v>2.2600639826370053</v>
      </c>
      <c r="AT279" s="6">
        <f t="shared" si="362"/>
        <v>1.3979777212187661</v>
      </c>
      <c r="AU279" s="179">
        <f t="shared" si="363"/>
        <v>0.61783439490445857</v>
      </c>
      <c r="CD279" s="581">
        <f t="shared" si="380"/>
        <v>-50</v>
      </c>
    </row>
    <row r="280" spans="5:82" x14ac:dyDescent="0.2">
      <c r="E280" s="176">
        <v>64</v>
      </c>
      <c r="F280" s="223">
        <f t="shared" si="381"/>
        <v>7.0400000000000004E-2</v>
      </c>
      <c r="G280" s="223">
        <f t="shared" ref="G280:G316" si="383">IF(PLOT_TYPE=1, E280/100*Iout2, min_I*EXP(Q280*rr/100))</f>
        <v>0.128</v>
      </c>
      <c r="H280" s="223">
        <f t="shared" ref="H280:H316" si="384">F280*Vout</f>
        <v>1.6896</v>
      </c>
      <c r="I280" s="223">
        <f t="shared" ref="I280:I316" si="385">Vout2*G280</f>
        <v>1.536</v>
      </c>
      <c r="J280" s="559">
        <f t="shared" ref="J280:J316" si="386">VIN_max</f>
        <v>15</v>
      </c>
      <c r="K280" s="454">
        <f t="shared" ref="K280:K316" si="387">(S280+Vfwd1)*Nps</f>
        <v>24.25</v>
      </c>
      <c r="L280" s="454">
        <f t="shared" ref="L280:L316" si="388">(Vout+Vfwd1)*Nps+J280</f>
        <v>39.25</v>
      </c>
      <c r="M280" s="454"/>
      <c r="N280" s="223">
        <f t="shared" ref="N280:N316" si="389">(Vout+Vfwd1)*Nps/((Vout+Vfwd1)*Nps+J280)</f>
        <v>0.61783439490445857</v>
      </c>
      <c r="O280" s="178">
        <f t="shared" ref="O280:O311" si="390">N280*J280*Isw_max*0.5*Efficiency*Pout/(Pout+Pout2)</f>
        <v>3.3434770245677887</v>
      </c>
      <c r="P280" s="178">
        <f t="shared" ref="P280:P316" si="391">N280*J280*Isw_max*0.5*Efficiency*(Pout2/Pout_total)</f>
        <v>5.8027287203242626</v>
      </c>
      <c r="Q280" s="223">
        <f t="shared" ref="Q280:Q316" si="392">O280/Vout</f>
        <v>0.13931154269032453</v>
      </c>
      <c r="R280" s="223">
        <f t="shared" ref="R280:R316" si="393">O280/Vout2</f>
        <v>0.27862308538064906</v>
      </c>
      <c r="S280" s="223">
        <f t="shared" ref="S280:S316" si="394">MIN(Vout,O280/F280)</f>
        <v>24</v>
      </c>
      <c r="T280" s="223">
        <f t="shared" ref="T280:T316" si="395">MIN(2*(Vout*F280+Vout2*G280)/(Efficiency*J280*N280), Isw_max)</f>
        <v>0.73274617471513848</v>
      </c>
      <c r="U280" s="223">
        <f t="shared" ref="U280:U316" si="396">L*T280/J280*1000000</f>
        <v>2.2959380141074339</v>
      </c>
      <c r="V280" s="223">
        <f t="shared" ref="V280:V316" si="397">L*T280/K280*1000000</f>
        <v>1.4201678437777943</v>
      </c>
      <c r="W280" s="203">
        <f t="shared" ref="W280:W316" si="398">IF(1/((350000*L)*(1/J280+1/K280))&gt;Isw_min, 350, 0.001/((Isw_min*L)*(1/J280+1/K280)))</f>
        <v>350</v>
      </c>
      <c r="X280" s="454">
        <f t="shared" ref="X280:X316" si="399">MIN(1/(U280+V280)*1000, 350)</f>
        <v>269.09890036584767</v>
      </c>
      <c r="Z280" s="223">
        <f t="shared" ref="Z280:Z316" si="400">1/((W280*1000*L)*(1/J280+1/K280))</f>
        <v>0.56337482818035733</v>
      </c>
      <c r="AA280" s="179">
        <f t="shared" ref="AA280:AA316" si="401">L*Z280/K280*1000000</f>
        <v>1.0919017288444037</v>
      </c>
      <c r="AB280" s="179">
        <f t="shared" ref="AB280:AB311" si="402">0.5*AA280*Z280*Nps*W280/1000*(Pout/(Pout+Pout2))</f>
        <v>5.6388745313775496E-2</v>
      </c>
      <c r="AC280" s="179"/>
      <c r="AD280" s="179">
        <f t="shared" ref="AD280:AD316" si="403">L*Isw_min/K280*1000000</f>
        <v>0.56206185567010303</v>
      </c>
      <c r="AE280" s="563">
        <f t="shared" ref="AE280:AE311" si="404">MAX(10, F280/(0.5*AD280/1000000*Isw_min*Nps)/1000*Pout_total/Pout)</f>
        <v>863.81460773648405</v>
      </c>
      <c r="AF280" s="546">
        <f t="shared" ref="AF280:AF316" si="405">0.5*AD280/1000000*Isw_min*Nps*W280*1000*(Pout/Pout_total)</f>
        <v>2.8524639175257726E-2</v>
      </c>
      <c r="AH280" s="179">
        <f t="shared" ref="AH280:AH316" si="406">SQRT((H280+I280)/(0.5*L*Fsw_DCM))</f>
        <v>0.62623495013130459</v>
      </c>
      <c r="AI280" s="179">
        <f t="shared" ref="AI280:AI311" si="407">MAX(IF(F280&gt;AB280,T280,AH280),Isw_min)</f>
        <v>0.73274617471513848</v>
      </c>
      <c r="AJ280" s="179">
        <f t="shared" ref="AJ280:AJ311" si="408">IF(F280&gt;AF280, (AI280-Isw_min)/1.08*0.8+1.2, AE280*0.2/350+1)</f>
        <v>1.5279601294186211</v>
      </c>
      <c r="AL280" s="563">
        <f t="shared" ref="AL280:AL316" si="409">F280*1000</f>
        <v>70.400000000000006</v>
      </c>
      <c r="AM280" s="472">
        <f t="shared" ref="AM280:AM316" si="410">IF(F280&gt;AF280, X280, AE280)</f>
        <v>269.09890036584767</v>
      </c>
      <c r="AO280">
        <f t="shared" ref="AO280:AO316" si="411">IF(H280&gt;O280, "",AL280)</f>
        <v>70.400000000000006</v>
      </c>
      <c r="AP280">
        <f t="shared" ref="AP280:AP316" si="412">IF(H280&gt;O280, "",AM280)</f>
        <v>269.09890036584767</v>
      </c>
      <c r="AR280" s="6">
        <f t="shared" si="382"/>
        <v>3.7161058578852284</v>
      </c>
      <c r="AS280" s="6">
        <f t="shared" si="361"/>
        <v>2.2959380141074339</v>
      </c>
      <c r="AT280" s="6">
        <f t="shared" si="362"/>
        <v>1.4201678437777945</v>
      </c>
      <c r="AU280" s="179">
        <f t="shared" si="363"/>
        <v>0.61783439490445857</v>
      </c>
      <c r="CD280" s="581">
        <f t="shared" ref="CD280:CD316" si="413">IF(ABS(F280-Ioutmax_Vinmax)&lt;Iout/200, AM280, -50)</f>
        <v>-50</v>
      </c>
    </row>
    <row r="281" spans="5:82" x14ac:dyDescent="0.2">
      <c r="E281" s="176">
        <v>65</v>
      </c>
      <c r="F281" s="223">
        <f t="shared" ref="F281:F312" si="414">IF(PLOT_TYPE=1, E281/100*Iout_max, min_I*EXP(O281*rr/100))</f>
        <v>7.1500000000000008E-2</v>
      </c>
      <c r="G281" s="223">
        <f t="shared" si="383"/>
        <v>0.13</v>
      </c>
      <c r="H281" s="223">
        <f t="shared" si="384"/>
        <v>1.7160000000000002</v>
      </c>
      <c r="I281" s="223">
        <f t="shared" si="385"/>
        <v>1.56</v>
      </c>
      <c r="J281" s="559">
        <f t="shared" si="386"/>
        <v>15</v>
      </c>
      <c r="K281" s="454">
        <f t="shared" si="387"/>
        <v>24.25</v>
      </c>
      <c r="L281" s="454">
        <f t="shared" si="388"/>
        <v>39.25</v>
      </c>
      <c r="M281" s="454"/>
      <c r="N281" s="223">
        <f t="shared" si="389"/>
        <v>0.61783439490445857</v>
      </c>
      <c r="O281" s="178">
        <f t="shared" si="390"/>
        <v>3.3434770245677887</v>
      </c>
      <c r="P281" s="178">
        <f t="shared" si="391"/>
        <v>5.8027287203242626</v>
      </c>
      <c r="Q281" s="223">
        <f t="shared" si="392"/>
        <v>0.13931154269032453</v>
      </c>
      <c r="R281" s="223">
        <f t="shared" si="393"/>
        <v>0.27862308538064906</v>
      </c>
      <c r="S281" s="223">
        <f t="shared" si="394"/>
        <v>24</v>
      </c>
      <c r="T281" s="223">
        <f t="shared" si="395"/>
        <v>0.74419533369506252</v>
      </c>
      <c r="U281" s="223">
        <f t="shared" si="396"/>
        <v>2.3318120455778626</v>
      </c>
      <c r="V281" s="223">
        <f t="shared" si="397"/>
        <v>1.4423579663368222</v>
      </c>
      <c r="W281" s="203">
        <f t="shared" si="398"/>
        <v>350</v>
      </c>
      <c r="X281" s="454">
        <f t="shared" si="399"/>
        <v>264.95891728329616</v>
      </c>
      <c r="Z281" s="223">
        <f t="shared" si="400"/>
        <v>0.56337482818035733</v>
      </c>
      <c r="AA281" s="179">
        <f t="shared" si="401"/>
        <v>1.0919017288444037</v>
      </c>
      <c r="AB281" s="179">
        <f t="shared" si="402"/>
        <v>5.6388745313775496E-2</v>
      </c>
      <c r="AC281" s="179"/>
      <c r="AD281" s="179">
        <f t="shared" si="403"/>
        <v>0.56206185567010303</v>
      </c>
      <c r="AE281" s="563">
        <f t="shared" si="404"/>
        <v>877.31171098236689</v>
      </c>
      <c r="AF281" s="546">
        <f t="shared" si="405"/>
        <v>2.8524639175257726E-2</v>
      </c>
      <c r="AH281" s="179">
        <f t="shared" si="406"/>
        <v>0.63110844736893323</v>
      </c>
      <c r="AI281" s="179">
        <f t="shared" si="407"/>
        <v>0.74419533369506252</v>
      </c>
      <c r="AJ281" s="179">
        <f t="shared" si="408"/>
        <v>1.5364409879222685</v>
      </c>
      <c r="AL281" s="563">
        <f t="shared" si="409"/>
        <v>71.500000000000014</v>
      </c>
      <c r="AM281" s="472">
        <f t="shared" si="410"/>
        <v>264.95891728329616</v>
      </c>
      <c r="AO281">
        <f t="shared" si="411"/>
        <v>71.500000000000014</v>
      </c>
      <c r="AP281">
        <f t="shared" si="412"/>
        <v>264.95891728329616</v>
      </c>
      <c r="AR281" s="6">
        <f t="shared" si="382"/>
        <v>3.774170011914685</v>
      </c>
      <c r="AS281" s="6">
        <f t="shared" si="361"/>
        <v>2.3318120455778626</v>
      </c>
      <c r="AT281" s="6">
        <f t="shared" si="362"/>
        <v>1.4423579663368225</v>
      </c>
      <c r="AU281" s="179">
        <f t="shared" si="363"/>
        <v>0.61783439490445857</v>
      </c>
      <c r="CD281" s="581">
        <f t="shared" si="413"/>
        <v>-50</v>
      </c>
    </row>
    <row r="282" spans="5:82" x14ac:dyDescent="0.2">
      <c r="E282" s="176">
        <v>66</v>
      </c>
      <c r="F282" s="223">
        <f t="shared" si="414"/>
        <v>7.2599999999999998E-2</v>
      </c>
      <c r="G282" s="223">
        <f t="shared" si="383"/>
        <v>0.13200000000000001</v>
      </c>
      <c r="H282" s="223">
        <f t="shared" si="384"/>
        <v>1.7423999999999999</v>
      </c>
      <c r="I282" s="223">
        <f t="shared" si="385"/>
        <v>1.5840000000000001</v>
      </c>
      <c r="J282" s="559">
        <f t="shared" si="386"/>
        <v>15</v>
      </c>
      <c r="K282" s="454">
        <f t="shared" si="387"/>
        <v>24.25</v>
      </c>
      <c r="L282" s="454">
        <f t="shared" si="388"/>
        <v>39.25</v>
      </c>
      <c r="M282" s="454"/>
      <c r="N282" s="223">
        <f t="shared" si="389"/>
        <v>0.61783439490445857</v>
      </c>
      <c r="O282" s="178">
        <f t="shared" si="390"/>
        <v>3.3434770245677887</v>
      </c>
      <c r="P282" s="178">
        <f t="shared" si="391"/>
        <v>5.8027287203242626</v>
      </c>
      <c r="Q282" s="223">
        <f t="shared" si="392"/>
        <v>0.13931154269032453</v>
      </c>
      <c r="R282" s="223">
        <f t="shared" si="393"/>
        <v>0.27862308538064906</v>
      </c>
      <c r="S282" s="223">
        <f t="shared" si="394"/>
        <v>24</v>
      </c>
      <c r="T282" s="223">
        <f t="shared" si="395"/>
        <v>0.75564449267498657</v>
      </c>
      <c r="U282" s="223">
        <f t="shared" si="396"/>
        <v>2.3676860770482913</v>
      </c>
      <c r="V282" s="223">
        <f t="shared" si="397"/>
        <v>1.4645480888958502</v>
      </c>
      <c r="W282" s="203">
        <f t="shared" si="398"/>
        <v>350</v>
      </c>
      <c r="X282" s="454">
        <f t="shared" si="399"/>
        <v>260.94438823354926</v>
      </c>
      <c r="Z282" s="223">
        <f t="shared" si="400"/>
        <v>0.56337482818035733</v>
      </c>
      <c r="AA282" s="179">
        <f t="shared" si="401"/>
        <v>1.0919017288444037</v>
      </c>
      <c r="AB282" s="179">
        <f t="shared" si="402"/>
        <v>5.6388745313775496E-2</v>
      </c>
      <c r="AC282" s="179"/>
      <c r="AD282" s="179">
        <f t="shared" si="403"/>
        <v>0.56206185567010303</v>
      </c>
      <c r="AE282" s="563">
        <f t="shared" si="404"/>
        <v>890.80881422824928</v>
      </c>
      <c r="AF282" s="546">
        <f t="shared" si="405"/>
        <v>2.8524639175257726E-2</v>
      </c>
      <c r="AH282" s="179">
        <f t="shared" si="406"/>
        <v>0.6359445981490004</v>
      </c>
      <c r="AI282" s="179">
        <f t="shared" si="407"/>
        <v>0.75564449267498657</v>
      </c>
      <c r="AJ282" s="179">
        <f t="shared" si="408"/>
        <v>1.544921846425916</v>
      </c>
      <c r="AL282" s="563">
        <f t="shared" si="409"/>
        <v>72.599999999999994</v>
      </c>
      <c r="AM282" s="472">
        <f t="shared" si="410"/>
        <v>260.94438823354926</v>
      </c>
      <c r="AO282">
        <f t="shared" si="411"/>
        <v>72.599999999999994</v>
      </c>
      <c r="AP282">
        <f t="shared" si="412"/>
        <v>260.94438823354926</v>
      </c>
      <c r="AR282" s="6">
        <f t="shared" si="382"/>
        <v>3.8322341659441421</v>
      </c>
      <c r="AS282" s="6">
        <f t="shared" si="361"/>
        <v>2.3676860770482913</v>
      </c>
      <c r="AT282" s="6">
        <f t="shared" si="362"/>
        <v>1.4645480888958509</v>
      </c>
      <c r="AU282" s="179">
        <f t="shared" si="363"/>
        <v>0.61783439490445846</v>
      </c>
      <c r="CD282" s="581">
        <f t="shared" si="413"/>
        <v>-50</v>
      </c>
    </row>
    <row r="283" spans="5:82" x14ac:dyDescent="0.2">
      <c r="E283" s="176">
        <v>67</v>
      </c>
      <c r="F283" s="223">
        <f t="shared" si="414"/>
        <v>7.3700000000000002E-2</v>
      </c>
      <c r="G283" s="223">
        <f t="shared" si="383"/>
        <v>0.13400000000000001</v>
      </c>
      <c r="H283" s="223">
        <f t="shared" si="384"/>
        <v>1.7688000000000001</v>
      </c>
      <c r="I283" s="223">
        <f t="shared" si="385"/>
        <v>1.6080000000000001</v>
      </c>
      <c r="J283" s="559">
        <f t="shared" si="386"/>
        <v>15</v>
      </c>
      <c r="K283" s="454">
        <f t="shared" si="387"/>
        <v>24.25</v>
      </c>
      <c r="L283" s="454">
        <f t="shared" si="388"/>
        <v>39.25</v>
      </c>
      <c r="M283" s="454"/>
      <c r="N283" s="223">
        <f t="shared" si="389"/>
        <v>0.61783439490445857</v>
      </c>
      <c r="O283" s="178">
        <f t="shared" si="390"/>
        <v>3.3434770245677887</v>
      </c>
      <c r="P283" s="178">
        <f t="shared" si="391"/>
        <v>5.8027287203242626</v>
      </c>
      <c r="Q283" s="223">
        <f t="shared" si="392"/>
        <v>0.13931154269032453</v>
      </c>
      <c r="R283" s="223">
        <f t="shared" si="393"/>
        <v>0.27862308538064906</v>
      </c>
      <c r="S283" s="223">
        <f t="shared" si="394"/>
        <v>24</v>
      </c>
      <c r="T283" s="223">
        <f t="shared" si="395"/>
        <v>0.76709365165491061</v>
      </c>
      <c r="U283" s="223">
        <f t="shared" si="396"/>
        <v>2.4035601085187199</v>
      </c>
      <c r="V283" s="223">
        <f t="shared" si="397"/>
        <v>1.4867382114548782</v>
      </c>
      <c r="W283" s="203">
        <f t="shared" si="398"/>
        <v>350</v>
      </c>
      <c r="X283" s="454">
        <f t="shared" si="399"/>
        <v>257.04969587185451</v>
      </c>
      <c r="Z283" s="223">
        <f t="shared" si="400"/>
        <v>0.56337482818035733</v>
      </c>
      <c r="AA283" s="179">
        <f t="shared" si="401"/>
        <v>1.0919017288444037</v>
      </c>
      <c r="AB283" s="179">
        <f t="shared" si="402"/>
        <v>5.6388745313775496E-2</v>
      </c>
      <c r="AC283" s="179"/>
      <c r="AD283" s="179">
        <f t="shared" si="403"/>
        <v>0.56206185567010303</v>
      </c>
      <c r="AE283" s="563">
        <f t="shared" si="404"/>
        <v>904.30591747413166</v>
      </c>
      <c r="AF283" s="546">
        <f t="shared" si="405"/>
        <v>2.8524639175257726E-2</v>
      </c>
      <c r="AH283" s="179">
        <f t="shared" si="406"/>
        <v>0.6407442481125849</v>
      </c>
      <c r="AI283" s="179">
        <f t="shared" si="407"/>
        <v>0.76709365165491061</v>
      </c>
      <c r="AJ283" s="179">
        <f t="shared" si="408"/>
        <v>1.5534027049295633</v>
      </c>
      <c r="AL283" s="563">
        <f t="shared" si="409"/>
        <v>73.7</v>
      </c>
      <c r="AM283" s="472">
        <f t="shared" si="410"/>
        <v>257.04969587185451</v>
      </c>
      <c r="AO283">
        <f t="shared" si="411"/>
        <v>73.7</v>
      </c>
      <c r="AP283">
        <f t="shared" si="412"/>
        <v>257.04969587185451</v>
      </c>
      <c r="AR283" s="6">
        <f t="shared" si="382"/>
        <v>3.8902983199735983</v>
      </c>
      <c r="AS283" s="6">
        <f t="shared" si="361"/>
        <v>2.4035601085187199</v>
      </c>
      <c r="AT283" s="6">
        <f t="shared" si="362"/>
        <v>1.4867382114548784</v>
      </c>
      <c r="AU283" s="179">
        <f t="shared" si="363"/>
        <v>0.61783439490445857</v>
      </c>
      <c r="CD283" s="581">
        <f t="shared" si="413"/>
        <v>-50</v>
      </c>
    </row>
    <row r="284" spans="5:82" x14ac:dyDescent="0.2">
      <c r="E284" s="176">
        <v>68</v>
      </c>
      <c r="F284" s="223">
        <f t="shared" si="414"/>
        <v>7.4800000000000005E-2</v>
      </c>
      <c r="G284" s="223">
        <f t="shared" si="383"/>
        <v>0.13600000000000001</v>
      </c>
      <c r="H284" s="223">
        <f t="shared" si="384"/>
        <v>1.7952000000000001</v>
      </c>
      <c r="I284" s="223">
        <f t="shared" si="385"/>
        <v>1.6320000000000001</v>
      </c>
      <c r="J284" s="559">
        <f t="shared" si="386"/>
        <v>15</v>
      </c>
      <c r="K284" s="454">
        <f t="shared" si="387"/>
        <v>24.25</v>
      </c>
      <c r="L284" s="454">
        <f t="shared" si="388"/>
        <v>39.25</v>
      </c>
      <c r="M284" s="454"/>
      <c r="N284" s="223">
        <f t="shared" si="389"/>
        <v>0.61783439490445857</v>
      </c>
      <c r="O284" s="178">
        <f t="shared" si="390"/>
        <v>3.3434770245677887</v>
      </c>
      <c r="P284" s="178">
        <f t="shared" si="391"/>
        <v>5.8027287203242626</v>
      </c>
      <c r="Q284" s="223">
        <f t="shared" si="392"/>
        <v>0.13931154269032453</v>
      </c>
      <c r="R284" s="223">
        <f t="shared" si="393"/>
        <v>0.27862308538064906</v>
      </c>
      <c r="S284" s="223">
        <f t="shared" si="394"/>
        <v>24</v>
      </c>
      <c r="T284" s="223">
        <f t="shared" si="395"/>
        <v>0.77854281063483466</v>
      </c>
      <c r="U284" s="223">
        <f t="shared" si="396"/>
        <v>2.4394341399891486</v>
      </c>
      <c r="V284" s="223">
        <f t="shared" si="397"/>
        <v>1.5089283340139064</v>
      </c>
      <c r="W284" s="203">
        <f t="shared" si="398"/>
        <v>350</v>
      </c>
      <c r="X284" s="454">
        <f t="shared" si="399"/>
        <v>253.26955328550372</v>
      </c>
      <c r="Z284" s="223">
        <f t="shared" si="400"/>
        <v>0.56337482818035733</v>
      </c>
      <c r="AA284" s="179">
        <f t="shared" si="401"/>
        <v>1.0919017288444037</v>
      </c>
      <c r="AB284" s="179">
        <f t="shared" si="402"/>
        <v>5.6388745313775496E-2</v>
      </c>
      <c r="AC284" s="179"/>
      <c r="AD284" s="179">
        <f t="shared" si="403"/>
        <v>0.56206185567010303</v>
      </c>
      <c r="AE284" s="563">
        <f t="shared" si="404"/>
        <v>917.8030207200145</v>
      </c>
      <c r="AF284" s="546">
        <f t="shared" si="405"/>
        <v>2.8524639175257726E-2</v>
      </c>
      <c r="AH284" s="179">
        <f t="shared" si="406"/>
        <v>0.64550821146119419</v>
      </c>
      <c r="AI284" s="179">
        <f t="shared" si="407"/>
        <v>0.77854281063483466</v>
      </c>
      <c r="AJ284" s="179">
        <f t="shared" si="408"/>
        <v>1.5618835634332109</v>
      </c>
      <c r="AL284" s="563">
        <f t="shared" si="409"/>
        <v>74.800000000000011</v>
      </c>
      <c r="AM284" s="472">
        <f t="shared" si="410"/>
        <v>253.26955328550372</v>
      </c>
      <c r="AO284">
        <f t="shared" si="411"/>
        <v>74.800000000000011</v>
      </c>
      <c r="AP284">
        <f t="shared" si="412"/>
        <v>253.26955328550372</v>
      </c>
      <c r="AR284" s="6">
        <f t="shared" si="382"/>
        <v>3.948362474003055</v>
      </c>
      <c r="AS284" s="6">
        <f t="shared" si="361"/>
        <v>2.4394341399891486</v>
      </c>
      <c r="AT284" s="6">
        <f t="shared" si="362"/>
        <v>1.5089283340139064</v>
      </c>
      <c r="AU284" s="179">
        <f t="shared" si="363"/>
        <v>0.61783439490445857</v>
      </c>
      <c r="CD284" s="581">
        <f t="shared" si="413"/>
        <v>-50</v>
      </c>
    </row>
    <row r="285" spans="5:82" x14ac:dyDescent="0.2">
      <c r="E285" s="176">
        <v>69</v>
      </c>
      <c r="F285" s="223">
        <f t="shared" si="414"/>
        <v>7.5899999999999995E-2</v>
      </c>
      <c r="G285" s="223">
        <f t="shared" si="383"/>
        <v>0.13799999999999998</v>
      </c>
      <c r="H285" s="223">
        <f t="shared" si="384"/>
        <v>1.8215999999999999</v>
      </c>
      <c r="I285" s="223">
        <f t="shared" si="385"/>
        <v>1.6559999999999997</v>
      </c>
      <c r="J285" s="559">
        <f t="shared" si="386"/>
        <v>15</v>
      </c>
      <c r="K285" s="454">
        <f t="shared" si="387"/>
        <v>24.25</v>
      </c>
      <c r="L285" s="454">
        <f t="shared" si="388"/>
        <v>39.25</v>
      </c>
      <c r="M285" s="454"/>
      <c r="N285" s="223">
        <f t="shared" si="389"/>
        <v>0.61783439490445857</v>
      </c>
      <c r="O285" s="178">
        <f t="shared" si="390"/>
        <v>3.3434770245677887</v>
      </c>
      <c r="P285" s="178">
        <f t="shared" si="391"/>
        <v>5.8027287203242626</v>
      </c>
      <c r="Q285" s="223">
        <f t="shared" si="392"/>
        <v>0.13931154269032453</v>
      </c>
      <c r="R285" s="223">
        <f t="shared" si="393"/>
        <v>0.27862308538064906</v>
      </c>
      <c r="S285" s="223">
        <f t="shared" si="394"/>
        <v>24</v>
      </c>
      <c r="T285" s="223">
        <f t="shared" si="395"/>
        <v>0.78999196961475859</v>
      </c>
      <c r="U285" s="223">
        <f t="shared" si="396"/>
        <v>2.4753081714595768</v>
      </c>
      <c r="V285" s="223">
        <f t="shared" si="397"/>
        <v>1.5311184565729341</v>
      </c>
      <c r="W285" s="203">
        <f t="shared" si="398"/>
        <v>350</v>
      </c>
      <c r="X285" s="454">
        <f t="shared" si="399"/>
        <v>249.59898004948198</v>
      </c>
      <c r="Z285" s="223">
        <f t="shared" si="400"/>
        <v>0.56337482818035733</v>
      </c>
      <c r="AA285" s="179">
        <f t="shared" si="401"/>
        <v>1.0919017288444037</v>
      </c>
      <c r="AB285" s="179">
        <f t="shared" si="402"/>
        <v>5.6388745313775496E-2</v>
      </c>
      <c r="AC285" s="179"/>
      <c r="AD285" s="179">
        <f t="shared" si="403"/>
        <v>0.56206185567010303</v>
      </c>
      <c r="AE285" s="563">
        <f t="shared" si="404"/>
        <v>931.30012396589689</v>
      </c>
      <c r="AF285" s="546">
        <f t="shared" si="405"/>
        <v>2.8524639175257726E-2</v>
      </c>
      <c r="AH285" s="179">
        <f t="shared" si="406"/>
        <v>0.65023727256925057</v>
      </c>
      <c r="AI285" s="179">
        <f t="shared" si="407"/>
        <v>0.78999196961475859</v>
      </c>
      <c r="AJ285" s="179">
        <f t="shared" si="408"/>
        <v>1.5703644219368582</v>
      </c>
      <c r="AL285" s="563">
        <f t="shared" si="409"/>
        <v>75.899999999999991</v>
      </c>
      <c r="AM285" s="472">
        <f t="shared" si="410"/>
        <v>249.59898004948198</v>
      </c>
      <c r="AO285">
        <f t="shared" si="411"/>
        <v>75.899999999999991</v>
      </c>
      <c r="AP285">
        <f t="shared" si="412"/>
        <v>249.59898004948198</v>
      </c>
      <c r="AR285" s="6">
        <f t="shared" si="382"/>
        <v>4.0064266280325107</v>
      </c>
      <c r="AS285" s="6">
        <f t="shared" si="361"/>
        <v>2.4753081714595768</v>
      </c>
      <c r="AT285" s="6">
        <f t="shared" si="362"/>
        <v>1.5311184565729339</v>
      </c>
      <c r="AU285" s="179">
        <f t="shared" si="363"/>
        <v>0.61783439490445868</v>
      </c>
      <c r="CD285" s="581">
        <f t="shared" si="413"/>
        <v>-50</v>
      </c>
    </row>
    <row r="286" spans="5:82" x14ac:dyDescent="0.2">
      <c r="E286" s="176">
        <v>70</v>
      </c>
      <c r="F286" s="223">
        <f t="shared" si="414"/>
        <v>7.6999999999999999E-2</v>
      </c>
      <c r="G286" s="223">
        <f t="shared" si="383"/>
        <v>0.13999999999999999</v>
      </c>
      <c r="H286" s="223">
        <f t="shared" si="384"/>
        <v>1.8479999999999999</v>
      </c>
      <c r="I286" s="223">
        <f t="shared" si="385"/>
        <v>1.6799999999999997</v>
      </c>
      <c r="J286" s="559">
        <f t="shared" si="386"/>
        <v>15</v>
      </c>
      <c r="K286" s="454">
        <f t="shared" si="387"/>
        <v>24.25</v>
      </c>
      <c r="L286" s="454">
        <f t="shared" si="388"/>
        <v>39.25</v>
      </c>
      <c r="M286" s="454"/>
      <c r="N286" s="223">
        <f t="shared" si="389"/>
        <v>0.61783439490445857</v>
      </c>
      <c r="O286" s="178">
        <f t="shared" si="390"/>
        <v>3.3434770245677887</v>
      </c>
      <c r="P286" s="178">
        <f t="shared" si="391"/>
        <v>5.8027287203242626</v>
      </c>
      <c r="Q286" s="223">
        <f t="shared" si="392"/>
        <v>0.13931154269032453</v>
      </c>
      <c r="R286" s="223">
        <f t="shared" si="393"/>
        <v>0.27862308538064906</v>
      </c>
      <c r="S286" s="223">
        <f t="shared" si="394"/>
        <v>24</v>
      </c>
      <c r="T286" s="223">
        <f t="shared" si="395"/>
        <v>0.80144112859468264</v>
      </c>
      <c r="U286" s="223">
        <f t="shared" si="396"/>
        <v>2.5111822029300055</v>
      </c>
      <c r="V286" s="223">
        <f t="shared" si="397"/>
        <v>1.5533085791319621</v>
      </c>
      <c r="W286" s="203">
        <f t="shared" si="398"/>
        <v>350</v>
      </c>
      <c r="X286" s="454">
        <f t="shared" si="399"/>
        <v>246.03328033448938</v>
      </c>
      <c r="Z286" s="223">
        <f t="shared" si="400"/>
        <v>0.56337482818035733</v>
      </c>
      <c r="AA286" s="179">
        <f t="shared" si="401"/>
        <v>1.0919017288444037</v>
      </c>
      <c r="AB286" s="179">
        <f t="shared" si="402"/>
        <v>5.6388745313775496E-2</v>
      </c>
      <c r="AC286" s="179"/>
      <c r="AD286" s="179">
        <f t="shared" si="403"/>
        <v>0.56206185567010303</v>
      </c>
      <c r="AE286" s="563">
        <f t="shared" si="404"/>
        <v>944.7972272117795</v>
      </c>
      <c r="AF286" s="546">
        <f t="shared" si="405"/>
        <v>2.8524639175257726E-2</v>
      </c>
      <c r="AH286" s="179">
        <f t="shared" si="406"/>
        <v>0.65493218749177839</v>
      </c>
      <c r="AI286" s="179">
        <f t="shared" si="407"/>
        <v>0.80144112859468264</v>
      </c>
      <c r="AJ286" s="179">
        <f t="shared" si="408"/>
        <v>1.5788452804405058</v>
      </c>
      <c r="AL286" s="563">
        <f t="shared" si="409"/>
        <v>77</v>
      </c>
      <c r="AM286" s="472">
        <f t="shared" si="410"/>
        <v>246.03328033448938</v>
      </c>
      <c r="AO286">
        <f t="shared" si="411"/>
        <v>77</v>
      </c>
      <c r="AP286">
        <f t="shared" si="412"/>
        <v>246.03328033448938</v>
      </c>
      <c r="AR286" s="6">
        <f t="shared" si="382"/>
        <v>4.0644907820619673</v>
      </c>
      <c r="AS286" s="6">
        <f t="shared" si="361"/>
        <v>2.5111822029300055</v>
      </c>
      <c r="AT286" s="6">
        <f t="shared" si="362"/>
        <v>1.5533085791319619</v>
      </c>
      <c r="AU286" s="179">
        <f t="shared" si="363"/>
        <v>0.61783439490445868</v>
      </c>
      <c r="CD286" s="581">
        <f t="shared" si="413"/>
        <v>-50</v>
      </c>
    </row>
    <row r="287" spans="5:82" x14ac:dyDescent="0.2">
      <c r="E287" s="176">
        <v>71</v>
      </c>
      <c r="F287" s="223">
        <f t="shared" si="414"/>
        <v>7.8100000000000003E-2</v>
      </c>
      <c r="G287" s="223">
        <f t="shared" si="383"/>
        <v>0.14199999999999999</v>
      </c>
      <c r="H287" s="223">
        <f t="shared" si="384"/>
        <v>1.8744000000000001</v>
      </c>
      <c r="I287" s="223">
        <f t="shared" si="385"/>
        <v>1.7039999999999997</v>
      </c>
      <c r="J287" s="559">
        <f t="shared" si="386"/>
        <v>15</v>
      </c>
      <c r="K287" s="454">
        <f t="shared" si="387"/>
        <v>24.25</v>
      </c>
      <c r="L287" s="454">
        <f t="shared" si="388"/>
        <v>39.25</v>
      </c>
      <c r="M287" s="454"/>
      <c r="N287" s="223">
        <f t="shared" si="389"/>
        <v>0.61783439490445857</v>
      </c>
      <c r="O287" s="178">
        <f t="shared" si="390"/>
        <v>3.3434770245677887</v>
      </c>
      <c r="P287" s="178">
        <f t="shared" si="391"/>
        <v>5.8027287203242626</v>
      </c>
      <c r="Q287" s="223">
        <f t="shared" si="392"/>
        <v>0.13931154269032453</v>
      </c>
      <c r="R287" s="223">
        <f t="shared" si="393"/>
        <v>0.27862308538064906</v>
      </c>
      <c r="S287" s="223">
        <f t="shared" si="394"/>
        <v>24</v>
      </c>
      <c r="T287" s="223">
        <f t="shared" si="395"/>
        <v>0.81289028757460668</v>
      </c>
      <c r="U287" s="223">
        <f t="shared" si="396"/>
        <v>2.5470562344004342</v>
      </c>
      <c r="V287" s="223">
        <f t="shared" si="397"/>
        <v>1.5754987016909903</v>
      </c>
      <c r="W287" s="203">
        <f t="shared" si="398"/>
        <v>350</v>
      </c>
      <c r="X287" s="454">
        <f t="shared" si="399"/>
        <v>242.56802286498956</v>
      </c>
      <c r="Z287" s="223">
        <f t="shared" si="400"/>
        <v>0.56337482818035733</v>
      </c>
      <c r="AA287" s="179">
        <f t="shared" si="401"/>
        <v>1.0919017288444037</v>
      </c>
      <c r="AB287" s="179">
        <f t="shared" si="402"/>
        <v>5.6388745313775496E-2</v>
      </c>
      <c r="AC287" s="179"/>
      <c r="AD287" s="179">
        <f t="shared" si="403"/>
        <v>0.56206185567010303</v>
      </c>
      <c r="AE287" s="563">
        <f t="shared" si="404"/>
        <v>958.294330457662</v>
      </c>
      <c r="AF287" s="546">
        <f t="shared" si="405"/>
        <v>2.8524639175257726E-2</v>
      </c>
      <c r="AH287" s="179">
        <f t="shared" si="406"/>
        <v>0.65959368537549989</v>
      </c>
      <c r="AI287" s="179">
        <f t="shared" si="407"/>
        <v>0.81289028757460668</v>
      </c>
      <c r="AJ287" s="179">
        <f t="shared" si="408"/>
        <v>1.5873261389441531</v>
      </c>
      <c r="AL287" s="563">
        <f t="shared" si="409"/>
        <v>78.100000000000009</v>
      </c>
      <c r="AM287" s="472">
        <f t="shared" si="410"/>
        <v>242.56802286498956</v>
      </c>
      <c r="AO287">
        <f t="shared" si="411"/>
        <v>78.100000000000009</v>
      </c>
      <c r="AP287">
        <f t="shared" si="412"/>
        <v>242.56802286498956</v>
      </c>
      <c r="AR287" s="6">
        <f t="shared" si="382"/>
        <v>4.122554936091424</v>
      </c>
      <c r="AS287" s="6">
        <f t="shared" si="361"/>
        <v>2.5470562344004342</v>
      </c>
      <c r="AT287" s="6">
        <f t="shared" si="362"/>
        <v>1.5754987016909898</v>
      </c>
      <c r="AU287" s="179">
        <f t="shared" si="363"/>
        <v>0.61783439490445868</v>
      </c>
      <c r="CD287" s="581">
        <f t="shared" si="413"/>
        <v>-50</v>
      </c>
    </row>
    <row r="288" spans="5:82" x14ac:dyDescent="0.2">
      <c r="E288" s="176">
        <v>72</v>
      </c>
      <c r="F288" s="223">
        <f t="shared" si="414"/>
        <v>7.9199999999999993E-2</v>
      </c>
      <c r="G288" s="223">
        <f t="shared" si="383"/>
        <v>0.14399999999999999</v>
      </c>
      <c r="H288" s="223">
        <f t="shared" si="384"/>
        <v>1.9007999999999998</v>
      </c>
      <c r="I288" s="223">
        <f t="shared" si="385"/>
        <v>1.7279999999999998</v>
      </c>
      <c r="J288" s="559">
        <f t="shared" si="386"/>
        <v>15</v>
      </c>
      <c r="K288" s="454">
        <f t="shared" si="387"/>
        <v>24.25</v>
      </c>
      <c r="L288" s="454">
        <f t="shared" si="388"/>
        <v>39.25</v>
      </c>
      <c r="M288" s="454"/>
      <c r="N288" s="223">
        <f t="shared" si="389"/>
        <v>0.61783439490445857</v>
      </c>
      <c r="O288" s="178">
        <f t="shared" si="390"/>
        <v>3.3434770245677887</v>
      </c>
      <c r="P288" s="178">
        <f t="shared" si="391"/>
        <v>5.8027287203242626</v>
      </c>
      <c r="Q288" s="223">
        <f t="shared" si="392"/>
        <v>0.13931154269032453</v>
      </c>
      <c r="R288" s="223">
        <f t="shared" si="393"/>
        <v>0.27862308538064906</v>
      </c>
      <c r="S288" s="223">
        <f t="shared" si="394"/>
        <v>24</v>
      </c>
      <c r="T288" s="223">
        <f t="shared" si="395"/>
        <v>0.82433944655453073</v>
      </c>
      <c r="U288" s="223">
        <f t="shared" si="396"/>
        <v>2.5829302658708628</v>
      </c>
      <c r="V288" s="223">
        <f t="shared" si="397"/>
        <v>1.5976888242500182</v>
      </c>
      <c r="W288" s="203">
        <f t="shared" si="398"/>
        <v>350</v>
      </c>
      <c r="X288" s="454">
        <f t="shared" si="399"/>
        <v>239.19902254742018</v>
      </c>
      <c r="Z288" s="223">
        <f t="shared" si="400"/>
        <v>0.56337482818035733</v>
      </c>
      <c r="AA288" s="179">
        <f t="shared" si="401"/>
        <v>1.0919017288444037</v>
      </c>
      <c r="AB288" s="179">
        <f t="shared" si="402"/>
        <v>5.6388745313775496E-2</v>
      </c>
      <c r="AC288" s="179"/>
      <c r="AD288" s="179">
        <f t="shared" si="403"/>
        <v>0.56206185567010303</v>
      </c>
      <c r="AE288" s="563">
        <f t="shared" si="404"/>
        <v>971.7914337035445</v>
      </c>
      <c r="AF288" s="546">
        <f t="shared" si="405"/>
        <v>2.8524639175257726E-2</v>
      </c>
      <c r="AH288" s="179">
        <f t="shared" si="406"/>
        <v>0.66422246978079724</v>
      </c>
      <c r="AI288" s="179">
        <f t="shared" si="407"/>
        <v>0.82433944655453073</v>
      </c>
      <c r="AJ288" s="179">
        <f t="shared" si="408"/>
        <v>1.5958069974478006</v>
      </c>
      <c r="AL288" s="563">
        <f t="shared" si="409"/>
        <v>79.199999999999989</v>
      </c>
      <c r="AM288" s="472">
        <f t="shared" si="410"/>
        <v>239.19902254742018</v>
      </c>
      <c r="AO288">
        <f t="shared" si="411"/>
        <v>79.199999999999989</v>
      </c>
      <c r="AP288">
        <f t="shared" si="412"/>
        <v>239.19902254742018</v>
      </c>
      <c r="AR288" s="6">
        <f t="shared" si="382"/>
        <v>4.1806190901208815</v>
      </c>
      <c r="AS288" s="6">
        <f t="shared" si="361"/>
        <v>2.5829302658708628</v>
      </c>
      <c r="AT288" s="6">
        <f t="shared" si="362"/>
        <v>1.5976888242500187</v>
      </c>
      <c r="AU288" s="179">
        <f t="shared" si="363"/>
        <v>0.61783439490445857</v>
      </c>
      <c r="CD288" s="581">
        <f t="shared" si="413"/>
        <v>-50</v>
      </c>
    </row>
    <row r="289" spans="5:82" x14ac:dyDescent="0.2">
      <c r="E289" s="176">
        <v>73</v>
      </c>
      <c r="F289" s="223">
        <f t="shared" si="414"/>
        <v>8.0299999999999996E-2</v>
      </c>
      <c r="G289" s="223">
        <f t="shared" si="383"/>
        <v>0.14599999999999999</v>
      </c>
      <c r="H289" s="223">
        <f t="shared" si="384"/>
        <v>1.9272</v>
      </c>
      <c r="I289" s="223">
        <f t="shared" si="385"/>
        <v>1.7519999999999998</v>
      </c>
      <c r="J289" s="559">
        <f t="shared" si="386"/>
        <v>15</v>
      </c>
      <c r="K289" s="454">
        <f t="shared" si="387"/>
        <v>24.25</v>
      </c>
      <c r="L289" s="454">
        <f t="shared" si="388"/>
        <v>39.25</v>
      </c>
      <c r="M289" s="454"/>
      <c r="N289" s="223">
        <f t="shared" si="389"/>
        <v>0.61783439490445857</v>
      </c>
      <c r="O289" s="178">
        <f t="shared" si="390"/>
        <v>3.3434770245677887</v>
      </c>
      <c r="P289" s="178">
        <f t="shared" si="391"/>
        <v>5.8027287203242626</v>
      </c>
      <c r="Q289" s="223">
        <f t="shared" si="392"/>
        <v>0.13931154269032453</v>
      </c>
      <c r="R289" s="223">
        <f t="shared" si="393"/>
        <v>0.27862308538064906</v>
      </c>
      <c r="S289" s="223">
        <f t="shared" si="394"/>
        <v>24</v>
      </c>
      <c r="T289" s="223">
        <f t="shared" si="395"/>
        <v>0.83578860553445478</v>
      </c>
      <c r="U289" s="223">
        <f t="shared" si="396"/>
        <v>2.6188042973412915</v>
      </c>
      <c r="V289" s="223">
        <f t="shared" si="397"/>
        <v>1.6198789468090462</v>
      </c>
      <c r="W289" s="203">
        <f t="shared" si="398"/>
        <v>350</v>
      </c>
      <c r="X289" s="454">
        <f t="shared" si="399"/>
        <v>235.92232360841447</v>
      </c>
      <c r="Z289" s="223">
        <f t="shared" si="400"/>
        <v>0.56337482818035733</v>
      </c>
      <c r="AA289" s="179">
        <f t="shared" si="401"/>
        <v>1.0919017288444037</v>
      </c>
      <c r="AB289" s="179">
        <f t="shared" si="402"/>
        <v>5.6388745313775496E-2</v>
      </c>
      <c r="AC289" s="179"/>
      <c r="AD289" s="179">
        <f t="shared" si="403"/>
        <v>0.56206185567010303</v>
      </c>
      <c r="AE289" s="563">
        <f t="shared" si="404"/>
        <v>985.288536949427</v>
      </c>
      <c r="AF289" s="546">
        <f t="shared" si="405"/>
        <v>2.8524639175257726E-2</v>
      </c>
      <c r="AH289" s="179">
        <f t="shared" si="406"/>
        <v>0.66881921992132543</v>
      </c>
      <c r="AI289" s="179">
        <f t="shared" si="407"/>
        <v>0.83578860553445478</v>
      </c>
      <c r="AJ289" s="179">
        <f t="shared" si="408"/>
        <v>1.604287855951448</v>
      </c>
      <c r="AL289" s="563">
        <f t="shared" si="409"/>
        <v>80.3</v>
      </c>
      <c r="AM289" s="472">
        <f t="shared" si="410"/>
        <v>235.92232360841447</v>
      </c>
      <c r="AO289">
        <f t="shared" si="411"/>
        <v>80.3</v>
      </c>
      <c r="AP289">
        <f t="shared" si="412"/>
        <v>235.92232360841447</v>
      </c>
      <c r="AR289" s="6">
        <f t="shared" si="382"/>
        <v>4.2386832441503373</v>
      </c>
      <c r="AS289" s="6">
        <f t="shared" si="361"/>
        <v>2.6188042973412915</v>
      </c>
      <c r="AT289" s="6">
        <f t="shared" si="362"/>
        <v>1.6198789468090458</v>
      </c>
      <c r="AU289" s="179">
        <f t="shared" si="363"/>
        <v>0.61783439490445868</v>
      </c>
      <c r="CD289" s="581">
        <f t="shared" si="413"/>
        <v>-50</v>
      </c>
    </row>
    <row r="290" spans="5:82" x14ac:dyDescent="0.2">
      <c r="E290" s="176">
        <v>74</v>
      </c>
      <c r="F290" s="223">
        <f t="shared" si="414"/>
        <v>8.14E-2</v>
      </c>
      <c r="G290" s="223">
        <f t="shared" si="383"/>
        <v>0.14799999999999999</v>
      </c>
      <c r="H290" s="223">
        <f t="shared" si="384"/>
        <v>1.9536</v>
      </c>
      <c r="I290" s="223">
        <f t="shared" si="385"/>
        <v>1.7759999999999998</v>
      </c>
      <c r="J290" s="559">
        <f t="shared" si="386"/>
        <v>15</v>
      </c>
      <c r="K290" s="454">
        <f t="shared" si="387"/>
        <v>24.25</v>
      </c>
      <c r="L290" s="454">
        <f t="shared" si="388"/>
        <v>39.25</v>
      </c>
      <c r="M290" s="454"/>
      <c r="N290" s="223">
        <f t="shared" si="389"/>
        <v>0.61783439490445857</v>
      </c>
      <c r="O290" s="178">
        <f t="shared" si="390"/>
        <v>3.3434770245677887</v>
      </c>
      <c r="P290" s="178">
        <f t="shared" si="391"/>
        <v>5.8027287203242626</v>
      </c>
      <c r="Q290" s="223">
        <f t="shared" si="392"/>
        <v>0.13931154269032453</v>
      </c>
      <c r="R290" s="223">
        <f t="shared" si="393"/>
        <v>0.27862308538064906</v>
      </c>
      <c r="S290" s="223">
        <f t="shared" si="394"/>
        <v>24</v>
      </c>
      <c r="T290" s="223">
        <f t="shared" si="395"/>
        <v>0.84723776451437871</v>
      </c>
      <c r="U290" s="223">
        <f t="shared" si="396"/>
        <v>2.6546783288117197</v>
      </c>
      <c r="V290" s="223">
        <f t="shared" si="397"/>
        <v>1.642069069368074</v>
      </c>
      <c r="W290" s="203">
        <f t="shared" si="398"/>
        <v>350</v>
      </c>
      <c r="X290" s="454">
        <f t="shared" si="399"/>
        <v>232.73418410019266</v>
      </c>
      <c r="Z290" s="223">
        <f t="shared" si="400"/>
        <v>0.56337482818035733</v>
      </c>
      <c r="AA290" s="179">
        <f t="shared" si="401"/>
        <v>1.0919017288444037</v>
      </c>
      <c r="AB290" s="179">
        <f t="shared" si="402"/>
        <v>5.6388745313775496E-2</v>
      </c>
      <c r="AC290" s="179"/>
      <c r="AD290" s="179">
        <f t="shared" si="403"/>
        <v>0.56206185567010303</v>
      </c>
      <c r="AE290" s="563">
        <f t="shared" si="404"/>
        <v>998.78564019530984</v>
      </c>
      <c r="AF290" s="546">
        <f t="shared" si="405"/>
        <v>2.8524639175257726E-2</v>
      </c>
      <c r="AH290" s="179">
        <f t="shared" si="406"/>
        <v>0.67338459182746246</v>
      </c>
      <c r="AI290" s="179">
        <f t="shared" si="407"/>
        <v>0.84723776451437871</v>
      </c>
      <c r="AJ290" s="179">
        <f t="shared" si="408"/>
        <v>1.6127687144550953</v>
      </c>
      <c r="AL290" s="563">
        <f t="shared" si="409"/>
        <v>81.400000000000006</v>
      </c>
      <c r="AM290" s="472">
        <f t="shared" si="410"/>
        <v>232.73418410019266</v>
      </c>
      <c r="AO290">
        <f t="shared" si="411"/>
        <v>81.400000000000006</v>
      </c>
      <c r="AP290">
        <f t="shared" si="412"/>
        <v>232.73418410019266</v>
      </c>
      <c r="AR290" s="6">
        <f t="shared" si="382"/>
        <v>4.2967473981797939</v>
      </c>
      <c r="AS290" s="6">
        <f t="shared" si="361"/>
        <v>2.6546783288117197</v>
      </c>
      <c r="AT290" s="6">
        <f t="shared" si="362"/>
        <v>1.6420690693680742</v>
      </c>
      <c r="AU290" s="179">
        <f t="shared" si="363"/>
        <v>0.61783439490445857</v>
      </c>
      <c r="CD290" s="581">
        <f t="shared" si="413"/>
        <v>-50</v>
      </c>
    </row>
    <row r="291" spans="5:82" x14ac:dyDescent="0.2">
      <c r="E291" s="176">
        <v>75</v>
      </c>
      <c r="F291" s="223">
        <f t="shared" si="414"/>
        <v>8.2500000000000004E-2</v>
      </c>
      <c r="G291" s="223">
        <f t="shared" si="383"/>
        <v>0.15000000000000002</v>
      </c>
      <c r="H291" s="223">
        <f t="shared" si="384"/>
        <v>1.98</v>
      </c>
      <c r="I291" s="223">
        <f t="shared" si="385"/>
        <v>1.8000000000000003</v>
      </c>
      <c r="J291" s="559">
        <f t="shared" si="386"/>
        <v>15</v>
      </c>
      <c r="K291" s="454">
        <f t="shared" si="387"/>
        <v>24.25</v>
      </c>
      <c r="L291" s="454">
        <f t="shared" si="388"/>
        <v>39.25</v>
      </c>
      <c r="M291" s="454"/>
      <c r="N291" s="223">
        <f t="shared" si="389"/>
        <v>0.61783439490445857</v>
      </c>
      <c r="O291" s="178">
        <f t="shared" si="390"/>
        <v>3.3434770245677887</v>
      </c>
      <c r="P291" s="178">
        <f t="shared" si="391"/>
        <v>5.8027287203242626</v>
      </c>
      <c r="Q291" s="223">
        <f t="shared" si="392"/>
        <v>0.13931154269032453</v>
      </c>
      <c r="R291" s="223">
        <f t="shared" si="393"/>
        <v>0.27862308538064906</v>
      </c>
      <c r="S291" s="223">
        <f t="shared" si="394"/>
        <v>24</v>
      </c>
      <c r="T291" s="223">
        <f t="shared" si="395"/>
        <v>0.85868692349430298</v>
      </c>
      <c r="U291" s="223">
        <f t="shared" si="396"/>
        <v>2.6905523602821493</v>
      </c>
      <c r="V291" s="223">
        <f t="shared" si="397"/>
        <v>1.6642591919271028</v>
      </c>
      <c r="W291" s="203">
        <f t="shared" si="398"/>
        <v>350</v>
      </c>
      <c r="X291" s="454">
        <f t="shared" si="399"/>
        <v>229.63106164552332</v>
      </c>
      <c r="Z291" s="223">
        <f t="shared" si="400"/>
        <v>0.56337482818035733</v>
      </c>
      <c r="AA291" s="179">
        <f t="shared" si="401"/>
        <v>1.0919017288444037</v>
      </c>
      <c r="AB291" s="179">
        <f t="shared" si="402"/>
        <v>5.6388745313775496E-2</v>
      </c>
      <c r="AC291" s="179"/>
      <c r="AD291" s="179">
        <f t="shared" si="403"/>
        <v>0.56206185567010303</v>
      </c>
      <c r="AE291" s="563">
        <f t="shared" si="404"/>
        <v>1012.2827434411925</v>
      </c>
      <c r="AF291" s="546">
        <f t="shared" si="405"/>
        <v>2.8524639175257726E-2</v>
      </c>
      <c r="AH291" s="179">
        <f t="shared" si="406"/>
        <v>0.6779192194392385</v>
      </c>
      <c r="AI291" s="179">
        <f t="shared" si="407"/>
        <v>0.85868692349430298</v>
      </c>
      <c r="AJ291" s="179">
        <f t="shared" si="408"/>
        <v>1.6212495729587431</v>
      </c>
      <c r="AL291" s="563">
        <f t="shared" si="409"/>
        <v>82.5</v>
      </c>
      <c r="AM291" s="472">
        <f t="shared" si="410"/>
        <v>229.63106164552332</v>
      </c>
      <c r="AO291">
        <f t="shared" si="411"/>
        <v>82.5</v>
      </c>
      <c r="AP291">
        <f t="shared" si="412"/>
        <v>229.63106164552332</v>
      </c>
      <c r="AR291" s="6">
        <f t="shared" si="382"/>
        <v>4.3548115522092523</v>
      </c>
      <c r="AS291" s="6">
        <f t="shared" si="361"/>
        <v>2.6905523602821493</v>
      </c>
      <c r="AT291" s="6">
        <f t="shared" si="362"/>
        <v>1.664259191927103</v>
      </c>
      <c r="AU291" s="179">
        <f t="shared" si="363"/>
        <v>0.61783439490445857</v>
      </c>
      <c r="CD291" s="581">
        <f t="shared" si="413"/>
        <v>-50</v>
      </c>
    </row>
    <row r="292" spans="5:82" x14ac:dyDescent="0.2">
      <c r="E292" s="176">
        <v>76</v>
      </c>
      <c r="F292" s="223">
        <f t="shared" si="414"/>
        <v>8.3600000000000008E-2</v>
      </c>
      <c r="G292" s="223">
        <f t="shared" si="383"/>
        <v>0.15200000000000002</v>
      </c>
      <c r="H292" s="223">
        <f t="shared" si="384"/>
        <v>2.0064000000000002</v>
      </c>
      <c r="I292" s="223">
        <f t="shared" si="385"/>
        <v>1.8240000000000003</v>
      </c>
      <c r="J292" s="559">
        <f t="shared" si="386"/>
        <v>15</v>
      </c>
      <c r="K292" s="454">
        <f t="shared" si="387"/>
        <v>24.25</v>
      </c>
      <c r="L292" s="454">
        <f t="shared" si="388"/>
        <v>39.25</v>
      </c>
      <c r="M292" s="454"/>
      <c r="N292" s="223">
        <f t="shared" si="389"/>
        <v>0.61783439490445857</v>
      </c>
      <c r="O292" s="178">
        <f t="shared" si="390"/>
        <v>3.3434770245677887</v>
      </c>
      <c r="P292" s="178">
        <f t="shared" si="391"/>
        <v>5.8027287203242626</v>
      </c>
      <c r="Q292" s="223">
        <f t="shared" si="392"/>
        <v>0.13931154269032453</v>
      </c>
      <c r="R292" s="223">
        <f t="shared" si="393"/>
        <v>0.27862308538064906</v>
      </c>
      <c r="S292" s="223">
        <f t="shared" si="394"/>
        <v>24</v>
      </c>
      <c r="T292" s="223">
        <f t="shared" si="395"/>
        <v>0.87013608247422702</v>
      </c>
      <c r="U292" s="223">
        <f t="shared" si="396"/>
        <v>2.7264263917525779</v>
      </c>
      <c r="V292" s="223">
        <f t="shared" si="397"/>
        <v>1.6864493144861306</v>
      </c>
      <c r="W292" s="203">
        <f t="shared" si="398"/>
        <v>350</v>
      </c>
      <c r="X292" s="454">
        <f t="shared" si="399"/>
        <v>226.60960030808229</v>
      </c>
      <c r="Z292" s="223">
        <f t="shared" si="400"/>
        <v>0.56337482818035733</v>
      </c>
      <c r="AA292" s="179">
        <f t="shared" si="401"/>
        <v>1.0919017288444037</v>
      </c>
      <c r="AB292" s="179">
        <f t="shared" si="402"/>
        <v>5.6388745313775496E-2</v>
      </c>
      <c r="AC292" s="179"/>
      <c r="AD292" s="179">
        <f t="shared" si="403"/>
        <v>0.56206185567010303</v>
      </c>
      <c r="AE292" s="563">
        <f t="shared" si="404"/>
        <v>1025.779846687075</v>
      </c>
      <c r="AF292" s="546">
        <f t="shared" si="405"/>
        <v>2.8524639175257726E-2</v>
      </c>
      <c r="AH292" s="179">
        <f t="shared" si="406"/>
        <v>0.68242371563389748</v>
      </c>
      <c r="AI292" s="179">
        <f t="shared" si="407"/>
        <v>0.87013608247422702</v>
      </c>
      <c r="AJ292" s="179">
        <f t="shared" si="408"/>
        <v>1.6297304314623904</v>
      </c>
      <c r="AL292" s="563">
        <f t="shared" si="409"/>
        <v>83.600000000000009</v>
      </c>
      <c r="AM292" s="472">
        <f t="shared" si="410"/>
        <v>226.60960030808229</v>
      </c>
      <c r="AO292">
        <f t="shared" si="411"/>
        <v>83.600000000000009</v>
      </c>
      <c r="AP292">
        <f t="shared" si="412"/>
        <v>226.60960030808229</v>
      </c>
      <c r="AR292" s="6">
        <f t="shared" si="382"/>
        <v>4.4128757062387081</v>
      </c>
      <c r="AS292" s="6">
        <f t="shared" si="361"/>
        <v>2.7264263917525779</v>
      </c>
      <c r="AT292" s="6">
        <f t="shared" si="362"/>
        <v>1.6864493144861301</v>
      </c>
      <c r="AU292" s="179">
        <f t="shared" si="363"/>
        <v>0.61783439490445868</v>
      </c>
      <c r="CD292" s="581">
        <f t="shared" si="413"/>
        <v>-50</v>
      </c>
    </row>
    <row r="293" spans="5:82" x14ac:dyDescent="0.2">
      <c r="E293" s="176">
        <v>77</v>
      </c>
      <c r="F293" s="223">
        <f t="shared" si="414"/>
        <v>8.4699999999999998E-2</v>
      </c>
      <c r="G293" s="223">
        <f t="shared" si="383"/>
        <v>0.15400000000000003</v>
      </c>
      <c r="H293" s="223">
        <f t="shared" si="384"/>
        <v>2.0327999999999999</v>
      </c>
      <c r="I293" s="223">
        <f t="shared" si="385"/>
        <v>1.8480000000000003</v>
      </c>
      <c r="J293" s="559">
        <f t="shared" si="386"/>
        <v>15</v>
      </c>
      <c r="K293" s="454">
        <f t="shared" si="387"/>
        <v>24.25</v>
      </c>
      <c r="L293" s="454">
        <f t="shared" si="388"/>
        <v>39.25</v>
      </c>
      <c r="M293" s="454"/>
      <c r="N293" s="223">
        <f t="shared" si="389"/>
        <v>0.61783439490445857</v>
      </c>
      <c r="O293" s="178">
        <f t="shared" si="390"/>
        <v>3.3434770245677887</v>
      </c>
      <c r="P293" s="178">
        <f t="shared" si="391"/>
        <v>5.8027287203242626</v>
      </c>
      <c r="Q293" s="223">
        <f t="shared" si="392"/>
        <v>0.13931154269032453</v>
      </c>
      <c r="R293" s="223">
        <f t="shared" si="393"/>
        <v>0.27862308538064906</v>
      </c>
      <c r="S293" s="223">
        <f t="shared" si="394"/>
        <v>24</v>
      </c>
      <c r="T293" s="223">
        <f t="shared" si="395"/>
        <v>0.88158524145415107</v>
      </c>
      <c r="U293" s="223">
        <f t="shared" si="396"/>
        <v>2.7623004232230066</v>
      </c>
      <c r="V293" s="223">
        <f t="shared" si="397"/>
        <v>1.7086394370451587</v>
      </c>
      <c r="W293" s="203">
        <f t="shared" si="398"/>
        <v>350</v>
      </c>
      <c r="X293" s="454">
        <f t="shared" si="399"/>
        <v>223.66661848589936</v>
      </c>
      <c r="Z293" s="223">
        <f t="shared" si="400"/>
        <v>0.56337482818035733</v>
      </c>
      <c r="AA293" s="179">
        <f t="shared" si="401"/>
        <v>1.0919017288444037</v>
      </c>
      <c r="AB293" s="179">
        <f t="shared" si="402"/>
        <v>5.6388745313775496E-2</v>
      </c>
      <c r="AC293" s="179"/>
      <c r="AD293" s="179">
        <f t="shared" si="403"/>
        <v>0.56206185567010303</v>
      </c>
      <c r="AE293" s="563">
        <f t="shared" si="404"/>
        <v>1039.2769499329575</v>
      </c>
      <c r="AF293" s="546">
        <f t="shared" si="405"/>
        <v>2.8524639175257726E-2</v>
      </c>
      <c r="AH293" s="179">
        <f t="shared" si="406"/>
        <v>0.68689867319280984</v>
      </c>
      <c r="AI293" s="179">
        <f t="shared" si="407"/>
        <v>0.88158524145415107</v>
      </c>
      <c r="AJ293" s="179">
        <f t="shared" si="408"/>
        <v>1.6382112899660379</v>
      </c>
      <c r="AL293" s="563">
        <f t="shared" si="409"/>
        <v>84.7</v>
      </c>
      <c r="AM293" s="472">
        <f t="shared" si="410"/>
        <v>223.66661848589936</v>
      </c>
      <c r="AO293">
        <f t="shared" si="411"/>
        <v>84.7</v>
      </c>
      <c r="AP293">
        <f t="shared" si="412"/>
        <v>223.66661848589936</v>
      </c>
      <c r="AR293" s="6">
        <f t="shared" si="382"/>
        <v>4.4709398602681656</v>
      </c>
      <c r="AS293" s="6">
        <f t="shared" si="361"/>
        <v>2.7623004232230066</v>
      </c>
      <c r="AT293" s="6">
        <f t="shared" si="362"/>
        <v>1.708639437045159</v>
      </c>
      <c r="AU293" s="179">
        <f t="shared" si="363"/>
        <v>0.61783439490445857</v>
      </c>
      <c r="CD293" s="581">
        <f t="shared" si="413"/>
        <v>-50</v>
      </c>
    </row>
    <row r="294" spans="5:82" x14ac:dyDescent="0.2">
      <c r="E294" s="176">
        <v>78</v>
      </c>
      <c r="F294" s="223">
        <f t="shared" si="414"/>
        <v>8.5800000000000001E-2</v>
      </c>
      <c r="G294" s="223">
        <f t="shared" si="383"/>
        <v>0.15600000000000003</v>
      </c>
      <c r="H294" s="223">
        <f t="shared" si="384"/>
        <v>2.0592000000000001</v>
      </c>
      <c r="I294" s="223">
        <f t="shared" si="385"/>
        <v>1.8720000000000003</v>
      </c>
      <c r="J294" s="559">
        <f t="shared" si="386"/>
        <v>15</v>
      </c>
      <c r="K294" s="454">
        <f t="shared" si="387"/>
        <v>24.25</v>
      </c>
      <c r="L294" s="454">
        <f t="shared" si="388"/>
        <v>39.25</v>
      </c>
      <c r="M294" s="454"/>
      <c r="N294" s="223">
        <f t="shared" si="389"/>
        <v>0.61783439490445857</v>
      </c>
      <c r="O294" s="178">
        <f t="shared" si="390"/>
        <v>3.3434770245677887</v>
      </c>
      <c r="P294" s="178">
        <f t="shared" si="391"/>
        <v>5.8027287203242626</v>
      </c>
      <c r="Q294" s="223">
        <f t="shared" si="392"/>
        <v>0.13931154269032453</v>
      </c>
      <c r="R294" s="223">
        <f t="shared" si="393"/>
        <v>0.27862308538064906</v>
      </c>
      <c r="S294" s="223">
        <f t="shared" si="394"/>
        <v>24</v>
      </c>
      <c r="T294" s="223">
        <f t="shared" si="395"/>
        <v>0.89303440043407512</v>
      </c>
      <c r="U294" s="223">
        <f t="shared" si="396"/>
        <v>2.7981744546934353</v>
      </c>
      <c r="V294" s="223">
        <f t="shared" si="397"/>
        <v>1.7308295596041867</v>
      </c>
      <c r="W294" s="203">
        <f t="shared" si="398"/>
        <v>350</v>
      </c>
      <c r="X294" s="454">
        <f t="shared" si="399"/>
        <v>220.79909773608014</v>
      </c>
      <c r="Z294" s="223">
        <f t="shared" si="400"/>
        <v>0.56337482818035733</v>
      </c>
      <c r="AA294" s="179">
        <f t="shared" si="401"/>
        <v>1.0919017288444037</v>
      </c>
      <c r="AB294" s="179">
        <f t="shared" si="402"/>
        <v>5.6388745313775496E-2</v>
      </c>
      <c r="AC294" s="179"/>
      <c r="AD294" s="179">
        <f t="shared" si="403"/>
        <v>0.56206185567010303</v>
      </c>
      <c r="AE294" s="563">
        <f t="shared" si="404"/>
        <v>1052.7740531788402</v>
      </c>
      <c r="AF294" s="546">
        <f t="shared" si="405"/>
        <v>2.8524639175257726E-2</v>
      </c>
      <c r="AH294" s="179">
        <f t="shared" si="406"/>
        <v>0.69134466571205333</v>
      </c>
      <c r="AI294" s="179">
        <f t="shared" si="407"/>
        <v>0.89303440043407512</v>
      </c>
      <c r="AJ294" s="179">
        <f t="shared" si="408"/>
        <v>1.6466921484696853</v>
      </c>
      <c r="AL294" s="563">
        <f t="shared" si="409"/>
        <v>85.8</v>
      </c>
      <c r="AM294" s="472">
        <f t="shared" si="410"/>
        <v>220.79909773608014</v>
      </c>
      <c r="AO294">
        <f t="shared" si="411"/>
        <v>85.8</v>
      </c>
      <c r="AP294">
        <f t="shared" si="412"/>
        <v>220.79909773608014</v>
      </c>
      <c r="AR294" s="6">
        <f t="shared" si="382"/>
        <v>4.5290040142976222</v>
      </c>
      <c r="AS294" s="6">
        <f t="shared" si="361"/>
        <v>2.7981744546934353</v>
      </c>
      <c r="AT294" s="6">
        <f t="shared" si="362"/>
        <v>1.7308295596041869</v>
      </c>
      <c r="AU294" s="179">
        <f t="shared" si="363"/>
        <v>0.61783439490445857</v>
      </c>
      <c r="CD294" s="581">
        <f t="shared" si="413"/>
        <v>-50</v>
      </c>
    </row>
    <row r="295" spans="5:82" x14ac:dyDescent="0.2">
      <c r="E295" s="176">
        <v>79</v>
      </c>
      <c r="F295" s="223">
        <f t="shared" si="414"/>
        <v>8.6900000000000005E-2</v>
      </c>
      <c r="G295" s="223">
        <f t="shared" si="383"/>
        <v>0.15800000000000003</v>
      </c>
      <c r="H295" s="223">
        <f t="shared" si="384"/>
        <v>2.0856000000000003</v>
      </c>
      <c r="I295" s="223">
        <f t="shared" si="385"/>
        <v>1.8960000000000004</v>
      </c>
      <c r="J295" s="559">
        <f t="shared" si="386"/>
        <v>15</v>
      </c>
      <c r="K295" s="454">
        <f t="shared" si="387"/>
        <v>24.25</v>
      </c>
      <c r="L295" s="454">
        <f t="shared" si="388"/>
        <v>39.25</v>
      </c>
      <c r="M295" s="454"/>
      <c r="N295" s="223">
        <f t="shared" si="389"/>
        <v>0.61783439490445857</v>
      </c>
      <c r="O295" s="178">
        <f t="shared" si="390"/>
        <v>3.3434770245677887</v>
      </c>
      <c r="P295" s="178">
        <f t="shared" si="391"/>
        <v>5.8027287203242626</v>
      </c>
      <c r="Q295" s="223">
        <f t="shared" si="392"/>
        <v>0.13931154269032453</v>
      </c>
      <c r="R295" s="223">
        <f t="shared" si="393"/>
        <v>0.27862308538064906</v>
      </c>
      <c r="S295" s="223">
        <f t="shared" si="394"/>
        <v>24</v>
      </c>
      <c r="T295" s="223">
        <f t="shared" si="395"/>
        <v>0.90448355941399916</v>
      </c>
      <c r="U295" s="223">
        <f t="shared" si="396"/>
        <v>2.834048486163864</v>
      </c>
      <c r="V295" s="223">
        <f t="shared" si="397"/>
        <v>1.7530196821632149</v>
      </c>
      <c r="W295" s="203">
        <f t="shared" si="398"/>
        <v>350</v>
      </c>
      <c r="X295" s="454">
        <f t="shared" si="399"/>
        <v>218.00417244828165</v>
      </c>
      <c r="Z295" s="223">
        <f t="shared" si="400"/>
        <v>0.56337482818035733</v>
      </c>
      <c r="AA295" s="179">
        <f t="shared" si="401"/>
        <v>1.0919017288444037</v>
      </c>
      <c r="AB295" s="179">
        <f t="shared" si="402"/>
        <v>5.6388745313775496E-2</v>
      </c>
      <c r="AC295" s="179"/>
      <c r="AD295" s="179">
        <f t="shared" si="403"/>
        <v>0.56206185567010303</v>
      </c>
      <c r="AE295" s="563">
        <f t="shared" si="404"/>
        <v>1066.2711564247227</v>
      </c>
      <c r="AF295" s="546">
        <f t="shared" si="405"/>
        <v>2.8524639175257726E-2</v>
      </c>
      <c r="AH295" s="179">
        <f t="shared" si="406"/>
        <v>0.69576224846062096</v>
      </c>
      <c r="AI295" s="179">
        <f t="shared" si="407"/>
        <v>0.90448355941399916</v>
      </c>
      <c r="AJ295" s="179">
        <f t="shared" si="408"/>
        <v>1.6551730069733328</v>
      </c>
      <c r="AL295" s="563">
        <f t="shared" si="409"/>
        <v>86.9</v>
      </c>
      <c r="AM295" s="472">
        <f t="shared" si="410"/>
        <v>218.00417244828165</v>
      </c>
      <c r="AO295">
        <f t="shared" si="411"/>
        <v>86.9</v>
      </c>
      <c r="AP295">
        <f t="shared" si="412"/>
        <v>218.00417244828165</v>
      </c>
      <c r="AR295" s="6">
        <f t="shared" si="382"/>
        <v>4.5870681683270798</v>
      </c>
      <c r="AS295" s="6">
        <f t="shared" si="361"/>
        <v>2.834048486163864</v>
      </c>
      <c r="AT295" s="6">
        <f t="shared" si="362"/>
        <v>1.7530196821632158</v>
      </c>
      <c r="AU295" s="179">
        <f t="shared" si="363"/>
        <v>0.61783439490445846</v>
      </c>
      <c r="CD295" s="581">
        <f t="shared" si="413"/>
        <v>-50</v>
      </c>
    </row>
    <row r="296" spans="5:82" x14ac:dyDescent="0.2">
      <c r="E296" s="176">
        <v>80</v>
      </c>
      <c r="F296" s="223">
        <f t="shared" si="414"/>
        <v>8.8000000000000009E-2</v>
      </c>
      <c r="G296" s="223">
        <f t="shared" si="383"/>
        <v>0.16000000000000003</v>
      </c>
      <c r="H296" s="223">
        <f t="shared" si="384"/>
        <v>2.1120000000000001</v>
      </c>
      <c r="I296" s="223">
        <f t="shared" si="385"/>
        <v>1.9200000000000004</v>
      </c>
      <c r="J296" s="559">
        <f t="shared" si="386"/>
        <v>15</v>
      </c>
      <c r="K296" s="454">
        <f t="shared" si="387"/>
        <v>24.25</v>
      </c>
      <c r="L296" s="454">
        <f t="shared" si="388"/>
        <v>39.25</v>
      </c>
      <c r="M296" s="454"/>
      <c r="N296" s="223">
        <f t="shared" si="389"/>
        <v>0.61783439490445857</v>
      </c>
      <c r="O296" s="178">
        <f t="shared" si="390"/>
        <v>3.3434770245677887</v>
      </c>
      <c r="P296" s="178">
        <f t="shared" si="391"/>
        <v>5.8027287203242626</v>
      </c>
      <c r="Q296" s="223">
        <f t="shared" si="392"/>
        <v>0.13931154269032453</v>
      </c>
      <c r="R296" s="223">
        <f t="shared" si="393"/>
        <v>0.27862308538064906</v>
      </c>
      <c r="S296" s="223">
        <f t="shared" si="394"/>
        <v>24</v>
      </c>
      <c r="T296" s="223">
        <f t="shared" si="395"/>
        <v>0.9159327183939231</v>
      </c>
      <c r="U296" s="223">
        <f t="shared" si="396"/>
        <v>2.8699225176342922</v>
      </c>
      <c r="V296" s="223">
        <f t="shared" si="397"/>
        <v>1.7752098047222424</v>
      </c>
      <c r="W296" s="203">
        <f t="shared" si="398"/>
        <v>350</v>
      </c>
      <c r="X296" s="454">
        <f t="shared" si="399"/>
        <v>215.27912029267819</v>
      </c>
      <c r="Z296" s="223">
        <f t="shared" si="400"/>
        <v>0.56337482818035733</v>
      </c>
      <c r="AA296" s="179">
        <f t="shared" si="401"/>
        <v>1.0919017288444037</v>
      </c>
      <c r="AB296" s="179">
        <f t="shared" si="402"/>
        <v>5.6388745313775496E-2</v>
      </c>
      <c r="AC296" s="179"/>
      <c r="AD296" s="179">
        <f t="shared" si="403"/>
        <v>0.56206185567010303</v>
      </c>
      <c r="AE296" s="563">
        <f t="shared" si="404"/>
        <v>1079.7682596706052</v>
      </c>
      <c r="AF296" s="546">
        <f t="shared" si="405"/>
        <v>2.8524639175257726E-2</v>
      </c>
      <c r="AH296" s="179">
        <f t="shared" si="406"/>
        <v>0.70015195918989392</v>
      </c>
      <c r="AI296" s="179">
        <f t="shared" si="407"/>
        <v>0.9159327183939231</v>
      </c>
      <c r="AJ296" s="179">
        <f t="shared" si="408"/>
        <v>1.6636538654769801</v>
      </c>
      <c r="AL296" s="563">
        <f t="shared" si="409"/>
        <v>88.000000000000014</v>
      </c>
      <c r="AM296" s="472">
        <f t="shared" si="410"/>
        <v>215.27912029267819</v>
      </c>
      <c r="AO296">
        <f t="shared" si="411"/>
        <v>88.000000000000014</v>
      </c>
      <c r="AP296">
        <f t="shared" si="412"/>
        <v>215.27912029267819</v>
      </c>
      <c r="AR296" s="6">
        <f t="shared" si="382"/>
        <v>4.6451323223565346</v>
      </c>
      <c r="AS296" s="6">
        <f t="shared" si="361"/>
        <v>2.8699225176342922</v>
      </c>
      <c r="AT296" s="6">
        <f t="shared" si="362"/>
        <v>1.7752098047222424</v>
      </c>
      <c r="AU296" s="179">
        <f t="shared" si="363"/>
        <v>0.61783439490445857</v>
      </c>
      <c r="CD296" s="581">
        <f t="shared" si="413"/>
        <v>-50</v>
      </c>
    </row>
    <row r="297" spans="5:82" x14ac:dyDescent="0.2">
      <c r="E297" s="176">
        <v>81</v>
      </c>
      <c r="F297" s="223">
        <f t="shared" si="414"/>
        <v>8.9100000000000013E-2</v>
      </c>
      <c r="G297" s="223">
        <f t="shared" si="383"/>
        <v>0.16200000000000003</v>
      </c>
      <c r="H297" s="223">
        <f t="shared" si="384"/>
        <v>2.1384000000000003</v>
      </c>
      <c r="I297" s="223">
        <f t="shared" si="385"/>
        <v>1.9440000000000004</v>
      </c>
      <c r="J297" s="559">
        <f t="shared" si="386"/>
        <v>15</v>
      </c>
      <c r="K297" s="454">
        <f t="shared" si="387"/>
        <v>24.25</v>
      </c>
      <c r="L297" s="454">
        <f t="shared" si="388"/>
        <v>39.25</v>
      </c>
      <c r="M297" s="454"/>
      <c r="N297" s="223">
        <f t="shared" si="389"/>
        <v>0.61783439490445857</v>
      </c>
      <c r="O297" s="178">
        <f t="shared" si="390"/>
        <v>3.3434770245677887</v>
      </c>
      <c r="P297" s="178">
        <f t="shared" si="391"/>
        <v>5.8027287203242626</v>
      </c>
      <c r="Q297" s="223">
        <f t="shared" si="392"/>
        <v>0.13931154269032453</v>
      </c>
      <c r="R297" s="223">
        <f t="shared" si="393"/>
        <v>0.27862308538064906</v>
      </c>
      <c r="S297" s="223">
        <f t="shared" si="394"/>
        <v>24</v>
      </c>
      <c r="T297" s="223">
        <f t="shared" si="395"/>
        <v>0.92738187737384725</v>
      </c>
      <c r="U297" s="223">
        <f t="shared" si="396"/>
        <v>2.9057965491047213</v>
      </c>
      <c r="V297" s="223">
        <f t="shared" si="397"/>
        <v>1.7973999272812708</v>
      </c>
      <c r="W297" s="203">
        <f t="shared" si="398"/>
        <v>350</v>
      </c>
      <c r="X297" s="454">
        <f t="shared" si="399"/>
        <v>212.6213533754846</v>
      </c>
      <c r="Z297" s="223">
        <f t="shared" si="400"/>
        <v>0.56337482818035733</v>
      </c>
      <c r="AA297" s="179">
        <f t="shared" si="401"/>
        <v>1.0919017288444037</v>
      </c>
      <c r="AB297" s="179">
        <f t="shared" si="402"/>
        <v>5.6388745313775496E-2</v>
      </c>
      <c r="AC297" s="179"/>
      <c r="AD297" s="179">
        <f t="shared" si="403"/>
        <v>0.56206185567010303</v>
      </c>
      <c r="AE297" s="563">
        <f t="shared" si="404"/>
        <v>1093.2653629164877</v>
      </c>
      <c r="AF297" s="546">
        <f t="shared" si="405"/>
        <v>2.8524639175257726E-2</v>
      </c>
      <c r="AH297" s="179">
        <f t="shared" si="406"/>
        <v>0.70451431889771765</v>
      </c>
      <c r="AI297" s="179">
        <f t="shared" si="407"/>
        <v>0.92738187737384725</v>
      </c>
      <c r="AJ297" s="179">
        <f t="shared" si="408"/>
        <v>1.6721347239806277</v>
      </c>
      <c r="AL297" s="563">
        <f t="shared" si="409"/>
        <v>89.100000000000009</v>
      </c>
      <c r="AM297" s="472">
        <f t="shared" si="410"/>
        <v>212.6213533754846</v>
      </c>
      <c r="AO297">
        <f t="shared" si="411"/>
        <v>89.100000000000009</v>
      </c>
      <c r="AP297">
        <f t="shared" si="412"/>
        <v>212.6213533754846</v>
      </c>
      <c r="AR297" s="6">
        <f t="shared" si="382"/>
        <v>4.7031964763859921</v>
      </c>
      <c r="AS297" s="6">
        <f t="shared" si="361"/>
        <v>2.9057965491047213</v>
      </c>
      <c r="AT297" s="6">
        <f t="shared" si="362"/>
        <v>1.7973999272812708</v>
      </c>
      <c r="AU297" s="179">
        <f t="shared" si="363"/>
        <v>0.61783439490445857</v>
      </c>
      <c r="CD297" s="581">
        <f t="shared" si="413"/>
        <v>-50</v>
      </c>
    </row>
    <row r="298" spans="5:82" x14ac:dyDescent="0.2">
      <c r="E298" s="176">
        <v>82</v>
      </c>
      <c r="F298" s="223">
        <f t="shared" si="414"/>
        <v>9.0199999999999989E-2</v>
      </c>
      <c r="G298" s="223">
        <f t="shared" si="383"/>
        <v>0.16400000000000001</v>
      </c>
      <c r="H298" s="223">
        <f t="shared" si="384"/>
        <v>2.1647999999999996</v>
      </c>
      <c r="I298" s="223">
        <f t="shared" si="385"/>
        <v>1.968</v>
      </c>
      <c r="J298" s="559">
        <f t="shared" si="386"/>
        <v>15</v>
      </c>
      <c r="K298" s="454">
        <f t="shared" si="387"/>
        <v>24.25</v>
      </c>
      <c r="L298" s="454">
        <f t="shared" si="388"/>
        <v>39.25</v>
      </c>
      <c r="M298" s="454"/>
      <c r="N298" s="223">
        <f t="shared" si="389"/>
        <v>0.61783439490445857</v>
      </c>
      <c r="O298" s="178">
        <f t="shared" si="390"/>
        <v>3.3434770245677887</v>
      </c>
      <c r="P298" s="178">
        <f t="shared" si="391"/>
        <v>5.8027287203242626</v>
      </c>
      <c r="Q298" s="223">
        <f t="shared" si="392"/>
        <v>0.13931154269032453</v>
      </c>
      <c r="R298" s="223">
        <f t="shared" si="393"/>
        <v>0.27862308538064906</v>
      </c>
      <c r="S298" s="223">
        <f t="shared" si="394"/>
        <v>24</v>
      </c>
      <c r="T298" s="223">
        <f t="shared" si="395"/>
        <v>0.93883103635377108</v>
      </c>
      <c r="U298" s="223">
        <f t="shared" si="396"/>
        <v>2.9416705805751491</v>
      </c>
      <c r="V298" s="223">
        <f t="shared" si="397"/>
        <v>1.8195900498402984</v>
      </c>
      <c r="W298" s="203">
        <f t="shared" si="398"/>
        <v>350</v>
      </c>
      <c r="X298" s="454">
        <f t="shared" si="399"/>
        <v>210.02841004163724</v>
      </c>
      <c r="Z298" s="223">
        <f t="shared" si="400"/>
        <v>0.56337482818035733</v>
      </c>
      <c r="AA298" s="179">
        <f t="shared" si="401"/>
        <v>1.0919017288444037</v>
      </c>
      <c r="AB298" s="179">
        <f t="shared" si="402"/>
        <v>5.6388745313775496E-2</v>
      </c>
      <c r="AC298" s="179"/>
      <c r="AD298" s="179">
        <f t="shared" si="403"/>
        <v>0.56206185567010303</v>
      </c>
      <c r="AE298" s="563">
        <f t="shared" si="404"/>
        <v>1106.7624661623699</v>
      </c>
      <c r="AF298" s="546">
        <f t="shared" si="405"/>
        <v>2.8524639175257726E-2</v>
      </c>
      <c r="AH298" s="179">
        <f t="shared" si="406"/>
        <v>0.7088498325501551</v>
      </c>
      <c r="AI298" s="179">
        <f t="shared" si="407"/>
        <v>0.93883103635377108</v>
      </c>
      <c r="AJ298" s="179">
        <f t="shared" si="408"/>
        <v>1.6806155824842748</v>
      </c>
      <c r="AL298" s="563">
        <f t="shared" si="409"/>
        <v>90.199999999999989</v>
      </c>
      <c r="AM298" s="472">
        <f t="shared" si="410"/>
        <v>210.02841004163724</v>
      </c>
      <c r="AO298">
        <f t="shared" si="411"/>
        <v>90.199999999999989</v>
      </c>
      <c r="AP298">
        <f t="shared" si="412"/>
        <v>210.02841004163724</v>
      </c>
      <c r="AR298" s="6">
        <f t="shared" si="382"/>
        <v>4.7612606304154479</v>
      </c>
      <c r="AS298" s="6">
        <f t="shared" si="361"/>
        <v>2.9416705805751491</v>
      </c>
      <c r="AT298" s="6">
        <f t="shared" si="362"/>
        <v>1.8195900498402988</v>
      </c>
      <c r="AU298" s="179">
        <f t="shared" si="363"/>
        <v>0.61783439490445857</v>
      </c>
      <c r="CD298" s="581">
        <f t="shared" si="413"/>
        <v>-50</v>
      </c>
    </row>
    <row r="299" spans="5:82" x14ac:dyDescent="0.2">
      <c r="E299" s="176">
        <v>83</v>
      </c>
      <c r="F299" s="223">
        <f t="shared" si="414"/>
        <v>9.1299999999999992E-2</v>
      </c>
      <c r="G299" s="223">
        <f t="shared" si="383"/>
        <v>0.16600000000000001</v>
      </c>
      <c r="H299" s="223">
        <f t="shared" si="384"/>
        <v>2.1911999999999998</v>
      </c>
      <c r="I299" s="223">
        <f t="shared" si="385"/>
        <v>1.992</v>
      </c>
      <c r="J299" s="559">
        <f t="shared" si="386"/>
        <v>15</v>
      </c>
      <c r="K299" s="454">
        <f t="shared" si="387"/>
        <v>24.25</v>
      </c>
      <c r="L299" s="454">
        <f t="shared" si="388"/>
        <v>39.25</v>
      </c>
      <c r="M299" s="454"/>
      <c r="N299" s="223">
        <f t="shared" si="389"/>
        <v>0.61783439490445857</v>
      </c>
      <c r="O299" s="178">
        <f t="shared" si="390"/>
        <v>3.3434770245677887</v>
      </c>
      <c r="P299" s="178">
        <f t="shared" si="391"/>
        <v>5.8027287203242626</v>
      </c>
      <c r="Q299" s="223">
        <f t="shared" si="392"/>
        <v>0.13931154269032453</v>
      </c>
      <c r="R299" s="223">
        <f t="shared" si="393"/>
        <v>0.27862308538064906</v>
      </c>
      <c r="S299" s="223">
        <f t="shared" si="394"/>
        <v>24</v>
      </c>
      <c r="T299" s="223">
        <f t="shared" si="395"/>
        <v>0.95028019533369501</v>
      </c>
      <c r="U299" s="223">
        <f t="shared" si="396"/>
        <v>2.9775446120455777</v>
      </c>
      <c r="V299" s="223">
        <f t="shared" si="397"/>
        <v>1.8417801723993263</v>
      </c>
      <c r="W299" s="203">
        <f t="shared" si="398"/>
        <v>350</v>
      </c>
      <c r="X299" s="454">
        <f t="shared" si="399"/>
        <v>207.4979472700513</v>
      </c>
      <c r="Z299" s="223">
        <f t="shared" si="400"/>
        <v>0.56337482818035733</v>
      </c>
      <c r="AA299" s="179">
        <f t="shared" si="401"/>
        <v>1.0919017288444037</v>
      </c>
      <c r="AB299" s="179">
        <f t="shared" si="402"/>
        <v>5.6388745313775496E-2</v>
      </c>
      <c r="AC299" s="179"/>
      <c r="AD299" s="179">
        <f t="shared" si="403"/>
        <v>0.56206185567010303</v>
      </c>
      <c r="AE299" s="563">
        <f t="shared" si="404"/>
        <v>1120.2595694082529</v>
      </c>
      <c r="AF299" s="546">
        <f t="shared" si="405"/>
        <v>2.8524639175257726E-2</v>
      </c>
      <c r="AH299" s="179">
        <f t="shared" si="406"/>
        <v>0.71315898976374892</v>
      </c>
      <c r="AI299" s="179">
        <f t="shared" si="407"/>
        <v>0.95028019533369501</v>
      </c>
      <c r="AJ299" s="179">
        <f t="shared" si="408"/>
        <v>1.6890964409879221</v>
      </c>
      <c r="AL299" s="563">
        <f t="shared" si="409"/>
        <v>91.3</v>
      </c>
      <c r="AM299" s="472">
        <f t="shared" si="410"/>
        <v>207.4979472700513</v>
      </c>
      <c r="AO299">
        <f t="shared" si="411"/>
        <v>91.3</v>
      </c>
      <c r="AP299">
        <f t="shared" si="412"/>
        <v>207.4979472700513</v>
      </c>
      <c r="AR299" s="6">
        <f t="shared" si="382"/>
        <v>4.8193247844449036</v>
      </c>
      <c r="AS299" s="6">
        <f t="shared" si="361"/>
        <v>2.9775446120455777</v>
      </c>
      <c r="AT299" s="6">
        <f t="shared" si="362"/>
        <v>1.8417801723993259</v>
      </c>
      <c r="AU299" s="179">
        <f t="shared" si="363"/>
        <v>0.61783439490445868</v>
      </c>
      <c r="CD299" s="581">
        <f t="shared" si="413"/>
        <v>-50</v>
      </c>
    </row>
    <row r="300" spans="5:82" x14ac:dyDescent="0.2">
      <c r="E300" s="176">
        <v>84</v>
      </c>
      <c r="F300" s="223">
        <f t="shared" si="414"/>
        <v>9.2399999999999996E-2</v>
      </c>
      <c r="G300" s="223">
        <f t="shared" si="383"/>
        <v>0.16800000000000001</v>
      </c>
      <c r="H300" s="223">
        <f t="shared" si="384"/>
        <v>2.2176</v>
      </c>
      <c r="I300" s="223">
        <f t="shared" si="385"/>
        <v>2.016</v>
      </c>
      <c r="J300" s="559">
        <f t="shared" si="386"/>
        <v>15</v>
      </c>
      <c r="K300" s="454">
        <f t="shared" si="387"/>
        <v>24.25</v>
      </c>
      <c r="L300" s="454">
        <f t="shared" si="388"/>
        <v>39.25</v>
      </c>
      <c r="M300" s="454"/>
      <c r="N300" s="223">
        <f t="shared" si="389"/>
        <v>0.61783439490445857</v>
      </c>
      <c r="O300" s="178">
        <f t="shared" si="390"/>
        <v>3.3434770245677887</v>
      </c>
      <c r="P300" s="178">
        <f t="shared" si="391"/>
        <v>5.8027287203242626</v>
      </c>
      <c r="Q300" s="223">
        <f t="shared" si="392"/>
        <v>0.13931154269032453</v>
      </c>
      <c r="R300" s="223">
        <f t="shared" si="393"/>
        <v>0.27862308538064906</v>
      </c>
      <c r="S300" s="223">
        <f t="shared" si="394"/>
        <v>24</v>
      </c>
      <c r="T300" s="223">
        <f t="shared" si="395"/>
        <v>0.96172935431361928</v>
      </c>
      <c r="U300" s="223">
        <f t="shared" si="396"/>
        <v>3.0134186435160069</v>
      </c>
      <c r="V300" s="223">
        <f t="shared" si="397"/>
        <v>1.8639702949583548</v>
      </c>
      <c r="W300" s="203">
        <f t="shared" si="398"/>
        <v>350</v>
      </c>
      <c r="X300" s="454">
        <f t="shared" si="399"/>
        <v>205.02773361207446</v>
      </c>
      <c r="Z300" s="223">
        <f t="shared" si="400"/>
        <v>0.56337482818035733</v>
      </c>
      <c r="AA300" s="179">
        <f t="shared" si="401"/>
        <v>1.0919017288444037</v>
      </c>
      <c r="AB300" s="179">
        <f t="shared" si="402"/>
        <v>5.6388745313775496E-2</v>
      </c>
      <c r="AC300" s="179"/>
      <c r="AD300" s="179">
        <f t="shared" si="403"/>
        <v>0.56206185567010303</v>
      </c>
      <c r="AE300" s="563">
        <f t="shared" si="404"/>
        <v>1133.7566726541354</v>
      </c>
      <c r="AF300" s="546">
        <f t="shared" si="405"/>
        <v>2.8524639175257726E-2</v>
      </c>
      <c r="AH300" s="179">
        <f t="shared" si="406"/>
        <v>0.71744226545089962</v>
      </c>
      <c r="AI300" s="179">
        <f t="shared" si="407"/>
        <v>0.96172935431361928</v>
      </c>
      <c r="AJ300" s="179">
        <f t="shared" si="408"/>
        <v>1.6975772994915699</v>
      </c>
      <c r="AL300" s="563">
        <f t="shared" si="409"/>
        <v>92.399999999999991</v>
      </c>
      <c r="AM300" s="472">
        <f t="shared" si="410"/>
        <v>205.02773361207446</v>
      </c>
      <c r="AO300">
        <f t="shared" si="411"/>
        <v>92.399999999999991</v>
      </c>
      <c r="AP300">
        <f t="shared" si="412"/>
        <v>205.02773361207446</v>
      </c>
      <c r="AR300" s="6">
        <f t="shared" si="382"/>
        <v>4.8773889384743612</v>
      </c>
      <c r="AS300" s="6">
        <f t="shared" si="361"/>
        <v>3.0134186435160069</v>
      </c>
      <c r="AT300" s="6">
        <f t="shared" si="362"/>
        <v>1.8639702949583543</v>
      </c>
      <c r="AU300" s="179">
        <f t="shared" si="363"/>
        <v>0.61783439490445868</v>
      </c>
      <c r="CD300" s="581">
        <f t="shared" si="413"/>
        <v>-50</v>
      </c>
    </row>
    <row r="301" spans="5:82" x14ac:dyDescent="0.2">
      <c r="E301" s="176">
        <v>85</v>
      </c>
      <c r="F301" s="223">
        <f t="shared" si="414"/>
        <v>9.35E-2</v>
      </c>
      <c r="G301" s="223">
        <f t="shared" si="383"/>
        <v>0.17</v>
      </c>
      <c r="H301" s="223">
        <f t="shared" si="384"/>
        <v>2.2439999999999998</v>
      </c>
      <c r="I301" s="223">
        <f t="shared" si="385"/>
        <v>2.04</v>
      </c>
      <c r="J301" s="559">
        <f t="shared" si="386"/>
        <v>15</v>
      </c>
      <c r="K301" s="454">
        <f t="shared" si="387"/>
        <v>24.25</v>
      </c>
      <c r="L301" s="454">
        <f t="shared" si="388"/>
        <v>39.25</v>
      </c>
      <c r="M301" s="454"/>
      <c r="N301" s="223">
        <f t="shared" si="389"/>
        <v>0.61783439490445857</v>
      </c>
      <c r="O301" s="178">
        <f t="shared" si="390"/>
        <v>3.3434770245677887</v>
      </c>
      <c r="P301" s="178">
        <f t="shared" si="391"/>
        <v>5.8027287203242626</v>
      </c>
      <c r="Q301" s="223">
        <f t="shared" si="392"/>
        <v>0.13931154269032453</v>
      </c>
      <c r="R301" s="223">
        <f t="shared" si="393"/>
        <v>0.27862308538064906</v>
      </c>
      <c r="S301" s="223">
        <f t="shared" si="394"/>
        <v>24</v>
      </c>
      <c r="T301" s="223">
        <f t="shared" si="395"/>
        <v>0.97317851329354321</v>
      </c>
      <c r="U301" s="223">
        <f t="shared" si="396"/>
        <v>3.0492926749864351</v>
      </c>
      <c r="V301" s="223">
        <f t="shared" si="397"/>
        <v>1.8861604175173825</v>
      </c>
      <c r="W301" s="203">
        <f t="shared" si="398"/>
        <v>350</v>
      </c>
      <c r="X301" s="454">
        <f t="shared" si="399"/>
        <v>202.61564262840301</v>
      </c>
      <c r="Z301" s="223">
        <f t="shared" si="400"/>
        <v>0.56337482818035733</v>
      </c>
      <c r="AA301" s="179">
        <f t="shared" si="401"/>
        <v>1.0919017288444037</v>
      </c>
      <c r="AB301" s="179">
        <f t="shared" si="402"/>
        <v>5.6388745313775496E-2</v>
      </c>
      <c r="AC301" s="179"/>
      <c r="AD301" s="179">
        <f t="shared" si="403"/>
        <v>0.56206185567010303</v>
      </c>
      <c r="AE301" s="563">
        <f t="shared" si="404"/>
        <v>1147.2537759000179</v>
      </c>
      <c r="AF301" s="546">
        <f t="shared" si="405"/>
        <v>2.8524639175257726E-2</v>
      </c>
      <c r="AH301" s="179">
        <f t="shared" si="406"/>
        <v>0.72170012043076948</v>
      </c>
      <c r="AI301" s="179">
        <f t="shared" si="407"/>
        <v>0.97317851329354321</v>
      </c>
      <c r="AJ301" s="179">
        <f t="shared" si="408"/>
        <v>1.7060581579952172</v>
      </c>
      <c r="AL301" s="563">
        <f t="shared" si="409"/>
        <v>93.5</v>
      </c>
      <c r="AM301" s="472">
        <f t="shared" si="410"/>
        <v>202.61564262840301</v>
      </c>
      <c r="AO301">
        <f t="shared" si="411"/>
        <v>93.5</v>
      </c>
      <c r="AP301">
        <f t="shared" si="412"/>
        <v>202.61564262840301</v>
      </c>
      <c r="AR301" s="6">
        <f t="shared" si="382"/>
        <v>4.9354530925038169</v>
      </c>
      <c r="AS301" s="6">
        <f t="shared" si="361"/>
        <v>3.0492926749864351</v>
      </c>
      <c r="AT301" s="6">
        <f t="shared" si="362"/>
        <v>1.8861604175173818</v>
      </c>
      <c r="AU301" s="179">
        <f t="shared" si="363"/>
        <v>0.61783439490445868</v>
      </c>
      <c r="CD301" s="581">
        <f t="shared" si="413"/>
        <v>-50</v>
      </c>
    </row>
    <row r="302" spans="5:82" x14ac:dyDescent="0.2">
      <c r="E302" s="176">
        <v>86</v>
      </c>
      <c r="F302" s="223">
        <f t="shared" si="414"/>
        <v>9.4600000000000004E-2</v>
      </c>
      <c r="G302" s="223">
        <f t="shared" si="383"/>
        <v>0.17200000000000001</v>
      </c>
      <c r="H302" s="223">
        <f t="shared" si="384"/>
        <v>2.2704</v>
      </c>
      <c r="I302" s="223">
        <f t="shared" si="385"/>
        <v>2.0640000000000001</v>
      </c>
      <c r="J302" s="559">
        <f t="shared" si="386"/>
        <v>15</v>
      </c>
      <c r="K302" s="454">
        <f t="shared" si="387"/>
        <v>24.25</v>
      </c>
      <c r="L302" s="454">
        <f t="shared" si="388"/>
        <v>39.25</v>
      </c>
      <c r="M302" s="454"/>
      <c r="N302" s="223">
        <f t="shared" si="389"/>
        <v>0.61783439490445857</v>
      </c>
      <c r="O302" s="178">
        <f t="shared" si="390"/>
        <v>3.3434770245677887</v>
      </c>
      <c r="P302" s="178">
        <f t="shared" si="391"/>
        <v>5.8027287203242626</v>
      </c>
      <c r="Q302" s="223">
        <f t="shared" si="392"/>
        <v>0.13931154269032453</v>
      </c>
      <c r="R302" s="223">
        <f t="shared" si="393"/>
        <v>0.27862308538064906</v>
      </c>
      <c r="S302" s="223">
        <f t="shared" si="394"/>
        <v>24</v>
      </c>
      <c r="T302" s="223">
        <f t="shared" si="395"/>
        <v>0.98462767227346737</v>
      </c>
      <c r="U302" s="223">
        <f t="shared" si="396"/>
        <v>3.0851667064568642</v>
      </c>
      <c r="V302" s="223">
        <f t="shared" si="397"/>
        <v>1.9083505400764107</v>
      </c>
      <c r="W302" s="203">
        <f t="shared" si="398"/>
        <v>350</v>
      </c>
      <c r="X302" s="454">
        <f t="shared" si="399"/>
        <v>200.25964678388669</v>
      </c>
      <c r="Z302" s="223">
        <f t="shared" si="400"/>
        <v>0.56337482818035733</v>
      </c>
      <c r="AA302" s="179">
        <f t="shared" si="401"/>
        <v>1.0919017288444037</v>
      </c>
      <c r="AB302" s="179">
        <f t="shared" si="402"/>
        <v>5.6388745313775496E-2</v>
      </c>
      <c r="AC302" s="179"/>
      <c r="AD302" s="179">
        <f t="shared" si="403"/>
        <v>0.56206185567010303</v>
      </c>
      <c r="AE302" s="563">
        <f t="shared" si="404"/>
        <v>1160.7508791459004</v>
      </c>
      <c r="AF302" s="546">
        <f t="shared" si="405"/>
        <v>2.8524639175257726E-2</v>
      </c>
      <c r="AH302" s="179">
        <f t="shared" si="406"/>
        <v>0.72593300200793698</v>
      </c>
      <c r="AI302" s="179">
        <f t="shared" si="407"/>
        <v>0.98462767227346737</v>
      </c>
      <c r="AJ302" s="179">
        <f t="shared" si="408"/>
        <v>1.7145390164988648</v>
      </c>
      <c r="AL302" s="563">
        <f t="shared" si="409"/>
        <v>94.600000000000009</v>
      </c>
      <c r="AM302" s="472">
        <f t="shared" si="410"/>
        <v>200.25964678388669</v>
      </c>
      <c r="AO302">
        <f t="shared" si="411"/>
        <v>94.600000000000009</v>
      </c>
      <c r="AP302">
        <f t="shared" si="412"/>
        <v>200.25964678388669</v>
      </c>
      <c r="AR302" s="6">
        <f t="shared" si="382"/>
        <v>4.9935172465332744</v>
      </c>
      <c r="AS302" s="6">
        <f t="shared" si="361"/>
        <v>3.0851667064568642</v>
      </c>
      <c r="AT302" s="6">
        <f t="shared" si="362"/>
        <v>1.9083505400764103</v>
      </c>
      <c r="AU302" s="179">
        <f t="shared" si="363"/>
        <v>0.61783439490445868</v>
      </c>
      <c r="CD302" s="581">
        <f t="shared" si="413"/>
        <v>-50</v>
      </c>
    </row>
    <row r="303" spans="5:82" x14ac:dyDescent="0.2">
      <c r="E303" s="176">
        <v>87</v>
      </c>
      <c r="F303" s="223">
        <f t="shared" si="414"/>
        <v>9.5699999999999993E-2</v>
      </c>
      <c r="G303" s="223">
        <f t="shared" si="383"/>
        <v>0.17400000000000002</v>
      </c>
      <c r="H303" s="223">
        <f t="shared" si="384"/>
        <v>2.2967999999999997</v>
      </c>
      <c r="I303" s="223">
        <f t="shared" si="385"/>
        <v>2.0880000000000001</v>
      </c>
      <c r="J303" s="559">
        <f t="shared" si="386"/>
        <v>15</v>
      </c>
      <c r="K303" s="454">
        <f t="shared" si="387"/>
        <v>24.25</v>
      </c>
      <c r="L303" s="454">
        <f t="shared" si="388"/>
        <v>39.25</v>
      </c>
      <c r="M303" s="454"/>
      <c r="N303" s="223">
        <f t="shared" si="389"/>
        <v>0.61783439490445857</v>
      </c>
      <c r="O303" s="178">
        <f t="shared" si="390"/>
        <v>3.3434770245677887</v>
      </c>
      <c r="P303" s="178">
        <f t="shared" si="391"/>
        <v>5.8027287203242626</v>
      </c>
      <c r="Q303" s="223">
        <f t="shared" si="392"/>
        <v>0.13931154269032453</v>
      </c>
      <c r="R303" s="223">
        <f t="shared" si="393"/>
        <v>0.27862308538064906</v>
      </c>
      <c r="S303" s="223">
        <f t="shared" si="394"/>
        <v>24</v>
      </c>
      <c r="T303" s="223">
        <f t="shared" si="395"/>
        <v>0.99607683125339141</v>
      </c>
      <c r="U303" s="223">
        <f t="shared" si="396"/>
        <v>3.1210407379272929</v>
      </c>
      <c r="V303" s="223">
        <f t="shared" si="397"/>
        <v>1.9305406626354389</v>
      </c>
      <c r="W303" s="203">
        <f t="shared" si="398"/>
        <v>350</v>
      </c>
      <c r="X303" s="454">
        <f t="shared" si="399"/>
        <v>197.95781176338224</v>
      </c>
      <c r="Z303" s="223">
        <f t="shared" si="400"/>
        <v>0.56337482818035733</v>
      </c>
      <c r="AA303" s="179">
        <f t="shared" si="401"/>
        <v>1.0919017288444037</v>
      </c>
      <c r="AB303" s="179">
        <f t="shared" si="402"/>
        <v>5.6388745313775496E-2</v>
      </c>
      <c r="AC303" s="179"/>
      <c r="AD303" s="179">
        <f t="shared" si="403"/>
        <v>0.56206185567010303</v>
      </c>
      <c r="AE303" s="563">
        <f t="shared" si="404"/>
        <v>1174.2479823917831</v>
      </c>
      <c r="AF303" s="546">
        <f t="shared" si="405"/>
        <v>2.8524639175257726E-2</v>
      </c>
      <c r="AH303" s="179">
        <f t="shared" si="406"/>
        <v>0.73014134452085611</v>
      </c>
      <c r="AI303" s="179">
        <f t="shared" si="407"/>
        <v>0.99607683125339141</v>
      </c>
      <c r="AJ303" s="179">
        <f t="shared" si="408"/>
        <v>1.7230198750025121</v>
      </c>
      <c r="AL303" s="563">
        <f t="shared" si="409"/>
        <v>95.699999999999989</v>
      </c>
      <c r="AM303" s="472">
        <f t="shared" si="410"/>
        <v>197.95781176338224</v>
      </c>
      <c r="AO303">
        <f t="shared" si="411"/>
        <v>95.699999999999989</v>
      </c>
      <c r="AP303">
        <f t="shared" si="412"/>
        <v>197.95781176338224</v>
      </c>
      <c r="AR303" s="6">
        <f t="shared" si="382"/>
        <v>5.051581400562732</v>
      </c>
      <c r="AS303" s="6">
        <f t="shared" si="361"/>
        <v>3.1210407379272929</v>
      </c>
      <c r="AT303" s="6">
        <f t="shared" si="362"/>
        <v>1.9305406626354391</v>
      </c>
      <c r="AU303" s="179">
        <f t="shared" si="363"/>
        <v>0.61783439490445857</v>
      </c>
      <c r="CD303" s="581">
        <f t="shared" si="413"/>
        <v>-50</v>
      </c>
    </row>
    <row r="304" spans="5:82" x14ac:dyDescent="0.2">
      <c r="E304" s="176">
        <v>88</v>
      </c>
      <c r="F304" s="223">
        <f t="shared" si="414"/>
        <v>9.6799999999999997E-2</v>
      </c>
      <c r="G304" s="223">
        <f t="shared" si="383"/>
        <v>0.17600000000000002</v>
      </c>
      <c r="H304" s="223">
        <f t="shared" si="384"/>
        <v>2.3231999999999999</v>
      </c>
      <c r="I304" s="223">
        <f t="shared" si="385"/>
        <v>2.1120000000000001</v>
      </c>
      <c r="J304" s="559">
        <f t="shared" si="386"/>
        <v>15</v>
      </c>
      <c r="K304" s="454">
        <f t="shared" si="387"/>
        <v>24.25</v>
      </c>
      <c r="L304" s="454">
        <f t="shared" si="388"/>
        <v>39.25</v>
      </c>
      <c r="M304" s="454"/>
      <c r="N304" s="223">
        <f t="shared" si="389"/>
        <v>0.61783439490445857</v>
      </c>
      <c r="O304" s="178">
        <f t="shared" si="390"/>
        <v>3.3434770245677887</v>
      </c>
      <c r="P304" s="178">
        <f t="shared" si="391"/>
        <v>5.8027287203242626</v>
      </c>
      <c r="Q304" s="223">
        <f t="shared" si="392"/>
        <v>0.13931154269032453</v>
      </c>
      <c r="R304" s="223">
        <f t="shared" si="393"/>
        <v>0.27862308538064906</v>
      </c>
      <c r="S304" s="223">
        <f t="shared" si="394"/>
        <v>24</v>
      </c>
      <c r="T304" s="223">
        <f t="shared" si="395"/>
        <v>1.0075259902333153</v>
      </c>
      <c r="U304" s="223">
        <f t="shared" si="396"/>
        <v>3.1569147693977211</v>
      </c>
      <c r="V304" s="223">
        <f t="shared" si="397"/>
        <v>1.9527307851944666</v>
      </c>
      <c r="W304" s="203">
        <f t="shared" si="398"/>
        <v>350</v>
      </c>
      <c r="X304" s="454">
        <f t="shared" si="399"/>
        <v>195.708291175162</v>
      </c>
      <c r="Z304" s="223">
        <f t="shared" si="400"/>
        <v>0.56337482818035733</v>
      </c>
      <c r="AA304" s="179">
        <f t="shared" si="401"/>
        <v>1.0919017288444037</v>
      </c>
      <c r="AB304" s="179">
        <f t="shared" si="402"/>
        <v>5.6388745313775496E-2</v>
      </c>
      <c r="AC304" s="179"/>
      <c r="AD304" s="179">
        <f t="shared" si="403"/>
        <v>0.56206185567010303</v>
      </c>
      <c r="AE304" s="563">
        <f t="shared" si="404"/>
        <v>1187.7450856376656</v>
      </c>
      <c r="AF304" s="546">
        <f t="shared" si="405"/>
        <v>2.8524639175257726E-2</v>
      </c>
      <c r="AH304" s="179">
        <f t="shared" si="406"/>
        <v>0.73432556986202757</v>
      </c>
      <c r="AI304" s="179">
        <f t="shared" si="407"/>
        <v>1.0075259902333153</v>
      </c>
      <c r="AJ304" s="179">
        <f t="shared" si="408"/>
        <v>1.7315007335061594</v>
      </c>
      <c r="AL304" s="563">
        <f t="shared" si="409"/>
        <v>96.8</v>
      </c>
      <c r="AM304" s="472">
        <f t="shared" si="410"/>
        <v>195.708291175162</v>
      </c>
      <c r="AO304">
        <f t="shared" si="411"/>
        <v>96.8</v>
      </c>
      <c r="AP304">
        <f t="shared" si="412"/>
        <v>195.708291175162</v>
      </c>
      <c r="AR304" s="6">
        <f t="shared" si="382"/>
        <v>5.1096455545921877</v>
      </c>
      <c r="AS304" s="6">
        <f t="shared" si="361"/>
        <v>3.1569147693977211</v>
      </c>
      <c r="AT304" s="6">
        <f t="shared" si="362"/>
        <v>1.9527307851944666</v>
      </c>
      <c r="AU304" s="179">
        <f t="shared" si="363"/>
        <v>0.61783439490445857</v>
      </c>
      <c r="CD304" s="581">
        <f t="shared" si="413"/>
        <v>-50</v>
      </c>
    </row>
    <row r="305" spans="5:82" x14ac:dyDescent="0.2">
      <c r="E305" s="176">
        <v>89</v>
      </c>
      <c r="F305" s="223">
        <f t="shared" si="414"/>
        <v>9.7900000000000001E-2</v>
      </c>
      <c r="G305" s="223">
        <f t="shared" si="383"/>
        <v>0.17800000000000002</v>
      </c>
      <c r="H305" s="223">
        <f t="shared" si="384"/>
        <v>2.3496000000000001</v>
      </c>
      <c r="I305" s="223">
        <f t="shared" si="385"/>
        <v>2.1360000000000001</v>
      </c>
      <c r="J305" s="559">
        <f t="shared" si="386"/>
        <v>15</v>
      </c>
      <c r="K305" s="454">
        <f t="shared" si="387"/>
        <v>24.25</v>
      </c>
      <c r="L305" s="454">
        <f t="shared" si="388"/>
        <v>39.25</v>
      </c>
      <c r="M305" s="454"/>
      <c r="N305" s="223">
        <f t="shared" si="389"/>
        <v>0.61783439490445857</v>
      </c>
      <c r="O305" s="178">
        <f t="shared" si="390"/>
        <v>3.3434770245677887</v>
      </c>
      <c r="P305" s="178">
        <f t="shared" si="391"/>
        <v>5.8027287203242626</v>
      </c>
      <c r="Q305" s="223">
        <f t="shared" si="392"/>
        <v>0.13931154269032453</v>
      </c>
      <c r="R305" s="223">
        <f t="shared" si="393"/>
        <v>0.27862308538064906</v>
      </c>
      <c r="S305" s="223">
        <f t="shared" si="394"/>
        <v>24</v>
      </c>
      <c r="T305" s="223">
        <f t="shared" si="395"/>
        <v>1.0189751492132393</v>
      </c>
      <c r="U305" s="223">
        <f t="shared" si="396"/>
        <v>3.1927888008681498</v>
      </c>
      <c r="V305" s="223">
        <f t="shared" si="397"/>
        <v>1.9749209077534948</v>
      </c>
      <c r="W305" s="203">
        <f t="shared" si="398"/>
        <v>350</v>
      </c>
      <c r="X305" s="454">
        <f t="shared" si="399"/>
        <v>193.50932161139613</v>
      </c>
      <c r="Z305" s="223">
        <f t="shared" si="400"/>
        <v>0.56337482818035733</v>
      </c>
      <c r="AA305" s="179">
        <f t="shared" si="401"/>
        <v>1.0919017288444037</v>
      </c>
      <c r="AB305" s="179">
        <f t="shared" si="402"/>
        <v>5.6388745313775496E-2</v>
      </c>
      <c r="AC305" s="179"/>
      <c r="AD305" s="179">
        <f t="shared" si="403"/>
        <v>0.56206185567010303</v>
      </c>
      <c r="AE305" s="563">
        <f t="shared" si="404"/>
        <v>1201.2421888835481</v>
      </c>
      <c r="AF305" s="546">
        <f t="shared" si="405"/>
        <v>2.8524639175257726E-2</v>
      </c>
      <c r="AH305" s="179">
        <f t="shared" si="406"/>
        <v>0.73848608797164184</v>
      </c>
      <c r="AI305" s="179">
        <f t="shared" si="407"/>
        <v>1.0189751492132393</v>
      </c>
      <c r="AJ305" s="179">
        <f t="shared" si="408"/>
        <v>1.7399815920098067</v>
      </c>
      <c r="AL305" s="563">
        <f t="shared" si="409"/>
        <v>97.9</v>
      </c>
      <c r="AM305" s="472">
        <f t="shared" si="410"/>
        <v>193.50932161139613</v>
      </c>
      <c r="AO305">
        <f t="shared" si="411"/>
        <v>97.9</v>
      </c>
      <c r="AP305">
        <f t="shared" si="412"/>
        <v>193.50932161139613</v>
      </c>
      <c r="AR305" s="6">
        <f t="shared" si="382"/>
        <v>5.1677097086216444</v>
      </c>
      <c r="AS305" s="6">
        <f t="shared" si="361"/>
        <v>3.1927888008681498</v>
      </c>
      <c r="AT305" s="6">
        <f t="shared" si="362"/>
        <v>1.9749209077534946</v>
      </c>
      <c r="AU305" s="179">
        <f t="shared" si="363"/>
        <v>0.61783439490445857</v>
      </c>
      <c r="CD305" s="581">
        <f t="shared" si="413"/>
        <v>-50</v>
      </c>
    </row>
    <row r="306" spans="5:82" x14ac:dyDescent="0.2">
      <c r="E306" s="176">
        <v>90</v>
      </c>
      <c r="F306" s="223">
        <f t="shared" si="414"/>
        <v>9.9000000000000005E-2</v>
      </c>
      <c r="G306" s="223">
        <f t="shared" si="383"/>
        <v>0.18000000000000002</v>
      </c>
      <c r="H306" s="223">
        <f t="shared" si="384"/>
        <v>2.3760000000000003</v>
      </c>
      <c r="I306" s="223">
        <f t="shared" si="385"/>
        <v>2.16</v>
      </c>
      <c r="J306" s="559">
        <f t="shared" si="386"/>
        <v>15</v>
      </c>
      <c r="K306" s="454">
        <f t="shared" si="387"/>
        <v>24.25</v>
      </c>
      <c r="L306" s="454">
        <f t="shared" si="388"/>
        <v>39.25</v>
      </c>
      <c r="M306" s="454"/>
      <c r="N306" s="223">
        <f t="shared" si="389"/>
        <v>0.61783439490445857</v>
      </c>
      <c r="O306" s="178">
        <f t="shared" si="390"/>
        <v>3.3434770245677887</v>
      </c>
      <c r="P306" s="178">
        <f t="shared" si="391"/>
        <v>5.8027287203242626</v>
      </c>
      <c r="Q306" s="223">
        <f t="shared" si="392"/>
        <v>0.13931154269032453</v>
      </c>
      <c r="R306" s="223">
        <f t="shared" si="393"/>
        <v>0.27862308538064906</v>
      </c>
      <c r="S306" s="223">
        <f t="shared" si="394"/>
        <v>24</v>
      </c>
      <c r="T306" s="223">
        <f t="shared" si="395"/>
        <v>1.0304243081931637</v>
      </c>
      <c r="U306" s="223">
        <f t="shared" si="396"/>
        <v>3.2286628323385793</v>
      </c>
      <c r="V306" s="223">
        <f t="shared" si="397"/>
        <v>1.9971110303125232</v>
      </c>
      <c r="W306" s="203">
        <f t="shared" si="398"/>
        <v>350</v>
      </c>
      <c r="X306" s="454">
        <f t="shared" si="399"/>
        <v>191.35921803793613</v>
      </c>
      <c r="Z306" s="223">
        <f t="shared" si="400"/>
        <v>0.56337482818035733</v>
      </c>
      <c r="AA306" s="179">
        <f t="shared" si="401"/>
        <v>1.0919017288444037</v>
      </c>
      <c r="AB306" s="179">
        <f t="shared" si="402"/>
        <v>5.6388745313775496E-2</v>
      </c>
      <c r="AC306" s="179"/>
      <c r="AD306" s="179">
        <f t="shared" si="403"/>
        <v>0.56206185567010303</v>
      </c>
      <c r="AE306" s="563">
        <f t="shared" si="404"/>
        <v>1214.7392921294309</v>
      </c>
      <c r="AF306" s="546">
        <f t="shared" si="405"/>
        <v>2.8524639175257726E-2</v>
      </c>
      <c r="AH306" s="179">
        <f t="shared" si="406"/>
        <v>0.74262329730633125</v>
      </c>
      <c r="AI306" s="179">
        <f t="shared" si="407"/>
        <v>1.0304243081931637</v>
      </c>
      <c r="AJ306" s="179">
        <f t="shared" si="408"/>
        <v>1.7484624505134545</v>
      </c>
      <c r="AL306" s="563">
        <f t="shared" si="409"/>
        <v>99</v>
      </c>
      <c r="AM306" s="472">
        <f t="shared" si="410"/>
        <v>191.35921803793613</v>
      </c>
      <c r="AO306">
        <f t="shared" si="411"/>
        <v>99</v>
      </c>
      <c r="AP306">
        <f t="shared" si="412"/>
        <v>191.35921803793613</v>
      </c>
      <c r="AR306" s="6">
        <f t="shared" si="382"/>
        <v>5.2257738626511019</v>
      </c>
      <c r="AS306" s="6">
        <f t="shared" si="361"/>
        <v>3.2286628323385793</v>
      </c>
      <c r="AT306" s="6">
        <f t="shared" si="362"/>
        <v>1.9971110303125226</v>
      </c>
      <c r="AU306" s="179">
        <f t="shared" si="363"/>
        <v>0.61783439490445868</v>
      </c>
      <c r="CD306" s="581">
        <f t="shared" si="413"/>
        <v>-50</v>
      </c>
    </row>
    <row r="307" spans="5:82" x14ac:dyDescent="0.2">
      <c r="E307" s="176">
        <v>91</v>
      </c>
      <c r="F307" s="223">
        <f t="shared" si="414"/>
        <v>0.10010000000000001</v>
      </c>
      <c r="G307" s="223">
        <f t="shared" si="383"/>
        <v>0.18200000000000002</v>
      </c>
      <c r="H307" s="223">
        <f t="shared" si="384"/>
        <v>2.4024000000000001</v>
      </c>
      <c r="I307" s="223">
        <f t="shared" si="385"/>
        <v>2.1840000000000002</v>
      </c>
      <c r="J307" s="559">
        <f t="shared" si="386"/>
        <v>15</v>
      </c>
      <c r="K307" s="454">
        <f t="shared" si="387"/>
        <v>24.25</v>
      </c>
      <c r="L307" s="454">
        <f t="shared" si="388"/>
        <v>39.25</v>
      </c>
      <c r="M307" s="454"/>
      <c r="N307" s="223">
        <f t="shared" si="389"/>
        <v>0.61783439490445857</v>
      </c>
      <c r="O307" s="178">
        <f t="shared" si="390"/>
        <v>3.3434770245677887</v>
      </c>
      <c r="P307" s="178">
        <f t="shared" si="391"/>
        <v>5.8027287203242626</v>
      </c>
      <c r="Q307" s="223">
        <f t="shared" si="392"/>
        <v>0.13931154269032453</v>
      </c>
      <c r="R307" s="223">
        <f t="shared" si="393"/>
        <v>0.27862308538064906</v>
      </c>
      <c r="S307" s="223">
        <f t="shared" si="394"/>
        <v>24</v>
      </c>
      <c r="T307" s="223">
        <f t="shared" si="395"/>
        <v>1.0418734671730876</v>
      </c>
      <c r="U307" s="223">
        <f t="shared" si="396"/>
        <v>3.2645368638090075</v>
      </c>
      <c r="V307" s="223">
        <f t="shared" si="397"/>
        <v>2.019301152871551</v>
      </c>
      <c r="W307" s="203">
        <f t="shared" si="398"/>
        <v>350</v>
      </c>
      <c r="X307" s="454">
        <f t="shared" si="399"/>
        <v>189.25636948806874</v>
      </c>
      <c r="Z307" s="223">
        <f t="shared" si="400"/>
        <v>0.56337482818035733</v>
      </c>
      <c r="AA307" s="179">
        <f t="shared" si="401"/>
        <v>1.0919017288444037</v>
      </c>
      <c r="AB307" s="179">
        <f t="shared" si="402"/>
        <v>5.6388745313775496E-2</v>
      </c>
      <c r="AC307" s="179"/>
      <c r="AD307" s="179">
        <f t="shared" si="403"/>
        <v>0.56206185567010303</v>
      </c>
      <c r="AE307" s="563">
        <f t="shared" si="404"/>
        <v>1228.2363953753136</v>
      </c>
      <c r="AF307" s="546">
        <f t="shared" si="405"/>
        <v>2.8524639175257726E-2</v>
      </c>
      <c r="AH307" s="179">
        <f t="shared" si="406"/>
        <v>0.74673758528454681</v>
      </c>
      <c r="AI307" s="179">
        <f t="shared" si="407"/>
        <v>1.0418734671730876</v>
      </c>
      <c r="AJ307" s="179">
        <f t="shared" si="408"/>
        <v>1.7569433090171018</v>
      </c>
      <c r="AL307" s="563">
        <f t="shared" si="409"/>
        <v>100.10000000000001</v>
      </c>
      <c r="AM307" s="472">
        <f t="shared" si="410"/>
        <v>189.25636948806874</v>
      </c>
      <c r="AO307">
        <f t="shared" si="411"/>
        <v>100.10000000000001</v>
      </c>
      <c r="AP307">
        <f t="shared" si="412"/>
        <v>189.25636948806874</v>
      </c>
      <c r="AR307" s="6">
        <f t="shared" si="382"/>
        <v>5.2838380166805576</v>
      </c>
      <c r="AS307" s="6">
        <f t="shared" ref="AS307:AS316" si="415">L*AI307/J307*1000000</f>
        <v>3.2645368638090075</v>
      </c>
      <c r="AT307" s="6">
        <f t="shared" ref="AT307:AT316" si="416">AR307-AS307</f>
        <v>2.0193011528715501</v>
      </c>
      <c r="AU307" s="179">
        <f t="shared" ref="AU307:AU316" si="417">AS307/AR307</f>
        <v>0.61783439490445868</v>
      </c>
      <c r="CD307" s="581">
        <f t="shared" si="413"/>
        <v>-50</v>
      </c>
    </row>
    <row r="308" spans="5:82" x14ac:dyDescent="0.2">
      <c r="E308" s="176">
        <v>92</v>
      </c>
      <c r="F308" s="223">
        <f t="shared" si="414"/>
        <v>0.1012</v>
      </c>
      <c r="G308" s="223">
        <f t="shared" si="383"/>
        <v>0.18400000000000002</v>
      </c>
      <c r="H308" s="223">
        <f t="shared" si="384"/>
        <v>2.4287999999999998</v>
      </c>
      <c r="I308" s="223">
        <f t="shared" si="385"/>
        <v>2.2080000000000002</v>
      </c>
      <c r="J308" s="559">
        <f t="shared" si="386"/>
        <v>15</v>
      </c>
      <c r="K308" s="454">
        <f t="shared" si="387"/>
        <v>24.25</v>
      </c>
      <c r="L308" s="454">
        <f t="shared" si="388"/>
        <v>39.25</v>
      </c>
      <c r="M308" s="454"/>
      <c r="N308" s="223">
        <f t="shared" si="389"/>
        <v>0.61783439490445857</v>
      </c>
      <c r="O308" s="178">
        <f t="shared" si="390"/>
        <v>3.3434770245677887</v>
      </c>
      <c r="P308" s="178">
        <f t="shared" si="391"/>
        <v>5.8027287203242626</v>
      </c>
      <c r="Q308" s="223">
        <f t="shared" si="392"/>
        <v>0.13931154269032453</v>
      </c>
      <c r="R308" s="223">
        <f t="shared" si="393"/>
        <v>0.27862308538064906</v>
      </c>
      <c r="S308" s="223">
        <f t="shared" si="394"/>
        <v>24</v>
      </c>
      <c r="T308" s="223">
        <f t="shared" si="395"/>
        <v>1.0533226261530115</v>
      </c>
      <c r="U308" s="223">
        <f t="shared" si="396"/>
        <v>3.3004108952794358</v>
      </c>
      <c r="V308" s="223">
        <f t="shared" si="397"/>
        <v>2.0414912754305785</v>
      </c>
      <c r="W308" s="203">
        <f t="shared" si="398"/>
        <v>350</v>
      </c>
      <c r="X308" s="454">
        <f t="shared" si="399"/>
        <v>187.19923503711146</v>
      </c>
      <c r="Z308" s="223">
        <f t="shared" si="400"/>
        <v>0.56337482818035733</v>
      </c>
      <c r="AA308" s="179">
        <f t="shared" si="401"/>
        <v>1.0919017288444037</v>
      </c>
      <c r="AB308" s="179">
        <f t="shared" si="402"/>
        <v>5.6388745313775496E-2</v>
      </c>
      <c r="AC308" s="179"/>
      <c r="AD308" s="179">
        <f t="shared" si="403"/>
        <v>0.56206185567010303</v>
      </c>
      <c r="AE308" s="563">
        <f t="shared" si="404"/>
        <v>1241.7334986211958</v>
      </c>
      <c r="AF308" s="546">
        <f t="shared" si="405"/>
        <v>2.8524639175257726E-2</v>
      </c>
      <c r="AH308" s="179">
        <f t="shared" si="406"/>
        <v>0.75082932870996977</v>
      </c>
      <c r="AI308" s="179">
        <f t="shared" si="407"/>
        <v>1.0533226261530115</v>
      </c>
      <c r="AJ308" s="179">
        <f t="shared" si="408"/>
        <v>1.7654241675207492</v>
      </c>
      <c r="AL308" s="563">
        <f t="shared" si="409"/>
        <v>101.2</v>
      </c>
      <c r="AM308" s="472">
        <f t="shared" si="410"/>
        <v>187.19923503711146</v>
      </c>
      <c r="AO308">
        <f t="shared" si="411"/>
        <v>101.2</v>
      </c>
      <c r="AP308">
        <f t="shared" si="412"/>
        <v>187.19923503711146</v>
      </c>
      <c r="AR308" s="6">
        <f t="shared" si="382"/>
        <v>5.3419021707100143</v>
      </c>
      <c r="AS308" s="6">
        <f t="shared" si="415"/>
        <v>3.3004108952794358</v>
      </c>
      <c r="AT308" s="6">
        <f t="shared" si="416"/>
        <v>2.0414912754305785</v>
      </c>
      <c r="AU308" s="179">
        <f t="shared" si="417"/>
        <v>0.61783439490445868</v>
      </c>
      <c r="CD308" s="581">
        <f t="shared" si="413"/>
        <v>-50</v>
      </c>
    </row>
    <row r="309" spans="5:82" x14ac:dyDescent="0.2">
      <c r="E309" s="176">
        <v>93</v>
      </c>
      <c r="F309" s="223">
        <f t="shared" si="414"/>
        <v>0.1023</v>
      </c>
      <c r="G309" s="223">
        <f t="shared" si="383"/>
        <v>0.18600000000000003</v>
      </c>
      <c r="H309" s="223">
        <f t="shared" si="384"/>
        <v>2.4552</v>
      </c>
      <c r="I309" s="223">
        <f t="shared" si="385"/>
        <v>2.2320000000000002</v>
      </c>
      <c r="J309" s="559">
        <f t="shared" si="386"/>
        <v>15</v>
      </c>
      <c r="K309" s="454">
        <f t="shared" si="387"/>
        <v>24.25</v>
      </c>
      <c r="L309" s="454">
        <f t="shared" si="388"/>
        <v>39.25</v>
      </c>
      <c r="M309" s="454"/>
      <c r="N309" s="223">
        <f t="shared" si="389"/>
        <v>0.61783439490445857</v>
      </c>
      <c r="O309" s="178">
        <f t="shared" si="390"/>
        <v>3.3434770245677887</v>
      </c>
      <c r="P309" s="178">
        <f t="shared" si="391"/>
        <v>5.8027287203242626</v>
      </c>
      <c r="Q309" s="223">
        <f t="shared" si="392"/>
        <v>0.13931154269032453</v>
      </c>
      <c r="R309" s="223">
        <f t="shared" si="393"/>
        <v>0.27862308538064906</v>
      </c>
      <c r="S309" s="223">
        <f t="shared" si="394"/>
        <v>24</v>
      </c>
      <c r="T309" s="223">
        <f t="shared" si="395"/>
        <v>1.0647717851329357</v>
      </c>
      <c r="U309" s="223">
        <f t="shared" si="396"/>
        <v>3.3362849267498649</v>
      </c>
      <c r="V309" s="223">
        <f t="shared" si="397"/>
        <v>2.0636813979896074</v>
      </c>
      <c r="W309" s="203">
        <f t="shared" si="398"/>
        <v>350</v>
      </c>
      <c r="X309" s="454">
        <f t="shared" si="399"/>
        <v>185.18634003671241</v>
      </c>
      <c r="Z309" s="223">
        <f t="shared" si="400"/>
        <v>0.56337482818035733</v>
      </c>
      <c r="AA309" s="179">
        <f t="shared" si="401"/>
        <v>1.0919017288444037</v>
      </c>
      <c r="AB309" s="179">
        <f t="shared" si="402"/>
        <v>5.6388745313775496E-2</v>
      </c>
      <c r="AC309" s="179"/>
      <c r="AD309" s="179">
        <f t="shared" si="403"/>
        <v>0.56206185567010303</v>
      </c>
      <c r="AE309" s="563">
        <f t="shared" si="404"/>
        <v>1255.2306018670786</v>
      </c>
      <c r="AF309" s="546">
        <f t="shared" si="405"/>
        <v>2.8524639175257726E-2</v>
      </c>
      <c r="AH309" s="179">
        <f t="shared" si="406"/>
        <v>0.75489889417426759</v>
      </c>
      <c r="AI309" s="179">
        <f t="shared" si="407"/>
        <v>1.0647717851329357</v>
      </c>
      <c r="AJ309" s="179">
        <f t="shared" si="408"/>
        <v>1.7739050260243967</v>
      </c>
      <c r="AL309" s="563">
        <f t="shared" si="409"/>
        <v>102.3</v>
      </c>
      <c r="AM309" s="472">
        <f t="shared" si="410"/>
        <v>185.18634003671241</v>
      </c>
      <c r="AO309">
        <f t="shared" si="411"/>
        <v>102.3</v>
      </c>
      <c r="AP309">
        <f t="shared" si="412"/>
        <v>185.18634003671241</v>
      </c>
      <c r="AR309" s="6">
        <f t="shared" si="382"/>
        <v>5.3999663247394718</v>
      </c>
      <c r="AS309" s="6">
        <f t="shared" si="415"/>
        <v>3.3362849267498649</v>
      </c>
      <c r="AT309" s="6">
        <f t="shared" si="416"/>
        <v>2.0636813979896069</v>
      </c>
      <c r="AU309" s="179">
        <f t="shared" si="417"/>
        <v>0.61783439490445857</v>
      </c>
      <c r="CD309" s="581">
        <f t="shared" si="413"/>
        <v>-50</v>
      </c>
    </row>
    <row r="310" spans="5:82" x14ac:dyDescent="0.2">
      <c r="E310" s="176">
        <v>94</v>
      </c>
      <c r="F310" s="223">
        <f t="shared" si="414"/>
        <v>0.10339999999999999</v>
      </c>
      <c r="G310" s="223">
        <f t="shared" si="383"/>
        <v>0.188</v>
      </c>
      <c r="H310" s="223">
        <f t="shared" si="384"/>
        <v>2.4815999999999998</v>
      </c>
      <c r="I310" s="223">
        <f t="shared" si="385"/>
        <v>2.2560000000000002</v>
      </c>
      <c r="J310" s="559">
        <f t="shared" si="386"/>
        <v>15</v>
      </c>
      <c r="K310" s="454">
        <f t="shared" si="387"/>
        <v>24.25</v>
      </c>
      <c r="L310" s="454">
        <f t="shared" si="388"/>
        <v>39.25</v>
      </c>
      <c r="M310" s="454"/>
      <c r="N310" s="223">
        <f t="shared" si="389"/>
        <v>0.61783439490445857</v>
      </c>
      <c r="O310" s="178">
        <f t="shared" si="390"/>
        <v>3.3434770245677887</v>
      </c>
      <c r="P310" s="178">
        <f t="shared" si="391"/>
        <v>5.8027287203242626</v>
      </c>
      <c r="Q310" s="223">
        <f t="shared" si="392"/>
        <v>0.13931154269032453</v>
      </c>
      <c r="R310" s="223">
        <f t="shared" si="393"/>
        <v>0.27862308538064906</v>
      </c>
      <c r="S310" s="223">
        <f t="shared" si="394"/>
        <v>24</v>
      </c>
      <c r="T310" s="223">
        <f t="shared" si="395"/>
        <v>1.0762209441128596</v>
      </c>
      <c r="U310" s="223">
        <f t="shared" si="396"/>
        <v>3.3721589582202931</v>
      </c>
      <c r="V310" s="223">
        <f t="shared" si="397"/>
        <v>2.0858715205486349</v>
      </c>
      <c r="W310" s="203">
        <f t="shared" si="398"/>
        <v>350</v>
      </c>
      <c r="X310" s="454">
        <f t="shared" si="399"/>
        <v>183.21627258951338</v>
      </c>
      <c r="Z310" s="223">
        <f t="shared" si="400"/>
        <v>0.56337482818035733</v>
      </c>
      <c r="AA310" s="179">
        <f t="shared" si="401"/>
        <v>1.0919017288444037</v>
      </c>
      <c r="AB310" s="179">
        <f t="shared" si="402"/>
        <v>5.6388745313775496E-2</v>
      </c>
      <c r="AC310" s="179"/>
      <c r="AD310" s="179">
        <f t="shared" si="403"/>
        <v>0.56206185567010303</v>
      </c>
      <c r="AE310" s="563">
        <f t="shared" si="404"/>
        <v>1268.7277051129608</v>
      </c>
      <c r="AF310" s="546">
        <f t="shared" si="405"/>
        <v>2.8524639175257726E-2</v>
      </c>
      <c r="AH310" s="179">
        <f t="shared" si="406"/>
        <v>0.7589466384404111</v>
      </c>
      <c r="AI310" s="179">
        <f t="shared" si="407"/>
        <v>1.0762209441128596</v>
      </c>
      <c r="AJ310" s="179">
        <f t="shared" si="408"/>
        <v>1.782385884528044</v>
      </c>
      <c r="AL310" s="563">
        <f t="shared" si="409"/>
        <v>103.39999999999999</v>
      </c>
      <c r="AM310" s="472">
        <f t="shared" si="410"/>
        <v>183.21627258951338</v>
      </c>
      <c r="AO310">
        <f t="shared" si="411"/>
        <v>103.39999999999999</v>
      </c>
      <c r="AP310">
        <f t="shared" si="412"/>
        <v>183.21627258951338</v>
      </c>
      <c r="AR310" s="6">
        <f t="shared" si="382"/>
        <v>5.4580304787689276</v>
      </c>
      <c r="AS310" s="6">
        <f t="shared" si="415"/>
        <v>3.3721589582202931</v>
      </c>
      <c r="AT310" s="6">
        <f t="shared" si="416"/>
        <v>2.0858715205486345</v>
      </c>
      <c r="AU310" s="179">
        <f t="shared" si="417"/>
        <v>0.61783439490445868</v>
      </c>
      <c r="CD310" s="581">
        <f t="shared" si="413"/>
        <v>-50</v>
      </c>
    </row>
    <row r="311" spans="5:82" x14ac:dyDescent="0.2">
      <c r="E311" s="176">
        <v>95</v>
      </c>
      <c r="F311" s="223">
        <f t="shared" si="414"/>
        <v>0.1045</v>
      </c>
      <c r="G311" s="223">
        <f t="shared" si="383"/>
        <v>0.19</v>
      </c>
      <c r="H311" s="223">
        <f t="shared" si="384"/>
        <v>2.508</v>
      </c>
      <c r="I311" s="223">
        <f t="shared" si="385"/>
        <v>2.2800000000000002</v>
      </c>
      <c r="J311" s="559">
        <f t="shared" si="386"/>
        <v>15</v>
      </c>
      <c r="K311" s="454">
        <f t="shared" si="387"/>
        <v>24.25</v>
      </c>
      <c r="L311" s="454">
        <f t="shared" si="388"/>
        <v>39.25</v>
      </c>
      <c r="M311" s="454"/>
      <c r="N311" s="223">
        <f t="shared" si="389"/>
        <v>0.61783439490445857</v>
      </c>
      <c r="O311" s="178">
        <f t="shared" si="390"/>
        <v>3.3434770245677887</v>
      </c>
      <c r="P311" s="178">
        <f t="shared" si="391"/>
        <v>5.8027287203242626</v>
      </c>
      <c r="Q311" s="223">
        <f t="shared" si="392"/>
        <v>0.13931154269032453</v>
      </c>
      <c r="R311" s="223">
        <f t="shared" si="393"/>
        <v>0.27862308538064906</v>
      </c>
      <c r="S311" s="223">
        <f t="shared" si="394"/>
        <v>24</v>
      </c>
      <c r="T311" s="223">
        <f t="shared" si="395"/>
        <v>1.0876701030927838</v>
      </c>
      <c r="U311" s="223">
        <f t="shared" si="396"/>
        <v>3.4080329896907222</v>
      </c>
      <c r="V311" s="223">
        <f t="shared" si="397"/>
        <v>2.1080616431076629</v>
      </c>
      <c r="W311" s="203">
        <f t="shared" si="398"/>
        <v>350</v>
      </c>
      <c r="X311" s="454">
        <f t="shared" si="399"/>
        <v>181.28768024646584</v>
      </c>
      <c r="Z311" s="223">
        <f t="shared" si="400"/>
        <v>0.56337482818035733</v>
      </c>
      <c r="AA311" s="179">
        <f t="shared" si="401"/>
        <v>1.0919017288444037</v>
      </c>
      <c r="AB311" s="179">
        <f t="shared" si="402"/>
        <v>5.6388745313775496E-2</v>
      </c>
      <c r="AC311" s="179"/>
      <c r="AD311" s="179">
        <f t="shared" si="403"/>
        <v>0.56206185567010303</v>
      </c>
      <c r="AE311" s="563">
        <f t="shared" si="404"/>
        <v>1282.2248083588433</v>
      </c>
      <c r="AF311" s="546">
        <f t="shared" si="405"/>
        <v>2.8524639175257726E-2</v>
      </c>
      <c r="AH311" s="179">
        <f t="shared" si="406"/>
        <v>0.76297290880769031</v>
      </c>
      <c r="AI311" s="179">
        <f t="shared" si="407"/>
        <v>1.0876701030927838</v>
      </c>
      <c r="AJ311" s="179">
        <f t="shared" si="408"/>
        <v>1.7908667430316916</v>
      </c>
      <c r="AL311" s="563">
        <f t="shared" si="409"/>
        <v>104.5</v>
      </c>
      <c r="AM311" s="472">
        <f t="shared" si="410"/>
        <v>181.28768024646584</v>
      </c>
      <c r="AO311">
        <f t="shared" si="411"/>
        <v>104.5</v>
      </c>
      <c r="AP311">
        <f t="shared" si="412"/>
        <v>181.28768024646584</v>
      </c>
      <c r="AR311" s="6">
        <f t="shared" si="382"/>
        <v>5.5160946327983851</v>
      </c>
      <c r="AS311" s="6">
        <f t="shared" si="415"/>
        <v>3.4080329896907222</v>
      </c>
      <c r="AT311" s="6">
        <f t="shared" si="416"/>
        <v>2.1080616431076629</v>
      </c>
      <c r="AU311" s="179">
        <f t="shared" si="417"/>
        <v>0.61783439490445868</v>
      </c>
      <c r="CD311" s="581">
        <f t="shared" si="413"/>
        <v>-50</v>
      </c>
    </row>
    <row r="312" spans="5:82" x14ac:dyDescent="0.2">
      <c r="E312" s="176">
        <v>96</v>
      </c>
      <c r="F312" s="223">
        <f t="shared" si="414"/>
        <v>0.1056</v>
      </c>
      <c r="G312" s="223">
        <f t="shared" si="383"/>
        <v>0.192</v>
      </c>
      <c r="H312" s="223">
        <f t="shared" si="384"/>
        <v>2.5343999999999998</v>
      </c>
      <c r="I312" s="223">
        <f t="shared" si="385"/>
        <v>2.3040000000000003</v>
      </c>
      <c r="J312" s="559">
        <f t="shared" si="386"/>
        <v>15</v>
      </c>
      <c r="K312" s="454">
        <f t="shared" si="387"/>
        <v>24.25</v>
      </c>
      <c r="L312" s="454">
        <f t="shared" si="388"/>
        <v>39.25</v>
      </c>
      <c r="M312" s="454"/>
      <c r="N312" s="223">
        <f t="shared" si="389"/>
        <v>0.61783439490445857</v>
      </c>
      <c r="O312" s="178">
        <f t="shared" ref="O312:O316" si="418">N312*J312*Isw_max*0.5*Efficiency*Pout/(Pout+Pout2)</f>
        <v>3.3434770245677887</v>
      </c>
      <c r="P312" s="178">
        <f t="shared" si="391"/>
        <v>5.8027287203242626</v>
      </c>
      <c r="Q312" s="223">
        <f t="shared" si="392"/>
        <v>0.13931154269032453</v>
      </c>
      <c r="R312" s="223">
        <f t="shared" si="393"/>
        <v>0.27862308538064906</v>
      </c>
      <c r="S312" s="223">
        <f t="shared" si="394"/>
        <v>24</v>
      </c>
      <c r="T312" s="223">
        <f t="shared" si="395"/>
        <v>1.0991192620727077</v>
      </c>
      <c r="U312" s="223">
        <f t="shared" si="396"/>
        <v>3.4439070211611509</v>
      </c>
      <c r="V312" s="223">
        <f t="shared" si="397"/>
        <v>2.1302517656666913</v>
      </c>
      <c r="W312" s="203">
        <f t="shared" si="398"/>
        <v>350</v>
      </c>
      <c r="X312" s="454">
        <f t="shared" si="399"/>
        <v>179.39926691056513</v>
      </c>
      <c r="Z312" s="223">
        <f t="shared" si="400"/>
        <v>0.56337482818035733</v>
      </c>
      <c r="AA312" s="179">
        <f t="shared" si="401"/>
        <v>1.0919017288444037</v>
      </c>
      <c r="AB312" s="179">
        <f t="shared" ref="AB312:AB316" si="419">0.5*AA312*Z312*Nps*W312/1000*(Pout/(Pout+Pout2))</f>
        <v>5.6388745313775496E-2</v>
      </c>
      <c r="AC312" s="179"/>
      <c r="AD312" s="179">
        <f t="shared" si="403"/>
        <v>0.56206185567010303</v>
      </c>
      <c r="AE312" s="563">
        <f t="shared" ref="AE312:AE316" si="420">MAX(10, F312/(0.5*AD312/1000000*Isw_min*Nps)/1000*Pout_total/Pout)</f>
        <v>1295.7219116047263</v>
      </c>
      <c r="AF312" s="546">
        <f t="shared" si="405"/>
        <v>2.8524639175257726E-2</v>
      </c>
      <c r="AH312" s="179">
        <f t="shared" si="406"/>
        <v>0.76697804345948273</v>
      </c>
      <c r="AI312" s="179">
        <f t="shared" ref="AI312:AI316" si="421">MAX(IF(F312&gt;AB312,T312,AH312),Isw_min)</f>
        <v>1.0991192620727077</v>
      </c>
      <c r="AJ312" s="179">
        <f t="shared" ref="AJ312:AJ316" si="422">IF(F312&gt;AF312, (AI312-Isw_min)/1.08*0.8+1.2, AE312*0.2/350+1)</f>
        <v>1.7993476015353389</v>
      </c>
      <c r="AL312" s="563">
        <f t="shared" si="409"/>
        <v>105.6</v>
      </c>
      <c r="AM312" s="472">
        <f t="shared" si="410"/>
        <v>179.39926691056513</v>
      </c>
      <c r="AO312">
        <f t="shared" si="411"/>
        <v>105.6</v>
      </c>
      <c r="AP312">
        <f t="shared" si="412"/>
        <v>179.39926691056513</v>
      </c>
      <c r="AR312" s="6">
        <f t="shared" si="382"/>
        <v>5.5741587868278426</v>
      </c>
      <c r="AS312" s="6">
        <f t="shared" si="415"/>
        <v>3.4439070211611509</v>
      </c>
      <c r="AT312" s="6">
        <f t="shared" si="416"/>
        <v>2.1302517656666917</v>
      </c>
      <c r="AU312" s="179">
        <f t="shared" si="417"/>
        <v>0.61783439490445857</v>
      </c>
      <c r="CD312" s="581">
        <f t="shared" si="413"/>
        <v>-50</v>
      </c>
    </row>
    <row r="313" spans="5:82" x14ac:dyDescent="0.2">
      <c r="E313" s="176">
        <v>97</v>
      </c>
      <c r="F313" s="223">
        <f t="shared" ref="F313:F316" si="423">IF(PLOT_TYPE=1, E313/100*Iout_max, min_I*EXP(O313*rr/100))</f>
        <v>0.1067</v>
      </c>
      <c r="G313" s="223">
        <f t="shared" si="383"/>
        <v>0.19400000000000001</v>
      </c>
      <c r="H313" s="223">
        <f t="shared" si="384"/>
        <v>2.5608</v>
      </c>
      <c r="I313" s="223">
        <f t="shared" si="385"/>
        <v>2.3280000000000003</v>
      </c>
      <c r="J313" s="559">
        <f t="shared" si="386"/>
        <v>15</v>
      </c>
      <c r="K313" s="454">
        <f t="shared" si="387"/>
        <v>24.25</v>
      </c>
      <c r="L313" s="454">
        <f t="shared" si="388"/>
        <v>39.25</v>
      </c>
      <c r="M313" s="454"/>
      <c r="N313" s="223">
        <f t="shared" si="389"/>
        <v>0.61783439490445857</v>
      </c>
      <c r="O313" s="178">
        <f t="shared" si="418"/>
        <v>3.3434770245677887</v>
      </c>
      <c r="P313" s="178">
        <f t="shared" si="391"/>
        <v>5.8027287203242626</v>
      </c>
      <c r="Q313" s="223">
        <f t="shared" si="392"/>
        <v>0.13931154269032453</v>
      </c>
      <c r="R313" s="223">
        <f t="shared" si="393"/>
        <v>0.27862308538064906</v>
      </c>
      <c r="S313" s="223">
        <f t="shared" si="394"/>
        <v>24</v>
      </c>
      <c r="T313" s="223">
        <f t="shared" si="395"/>
        <v>1.1105684210526316</v>
      </c>
      <c r="U313" s="223">
        <f t="shared" si="396"/>
        <v>3.4797810526315791</v>
      </c>
      <c r="V313" s="223">
        <f t="shared" si="397"/>
        <v>2.1524418882257188</v>
      </c>
      <c r="W313" s="203">
        <f t="shared" si="398"/>
        <v>350</v>
      </c>
      <c r="X313" s="454">
        <f t="shared" si="399"/>
        <v>177.54978993210571</v>
      </c>
      <c r="Z313" s="223">
        <f t="shared" si="400"/>
        <v>0.56337482818035733</v>
      </c>
      <c r="AA313" s="179">
        <f t="shared" si="401"/>
        <v>1.0919017288444037</v>
      </c>
      <c r="AB313" s="179">
        <f t="shared" si="419"/>
        <v>5.6388745313775496E-2</v>
      </c>
      <c r="AC313" s="179"/>
      <c r="AD313" s="179">
        <f t="shared" si="403"/>
        <v>0.56206185567010303</v>
      </c>
      <c r="AE313" s="563">
        <f t="shared" si="420"/>
        <v>1309.2190148506088</v>
      </c>
      <c r="AF313" s="546">
        <f t="shared" si="405"/>
        <v>2.8524639175257726E-2</v>
      </c>
      <c r="AH313" s="179">
        <f t="shared" si="406"/>
        <v>0.77096237179476168</v>
      </c>
      <c r="AI313" s="179">
        <f t="shared" si="421"/>
        <v>1.1105684210526316</v>
      </c>
      <c r="AJ313" s="179">
        <f t="shared" si="422"/>
        <v>1.8078284600389862</v>
      </c>
      <c r="AL313" s="563">
        <f t="shared" si="409"/>
        <v>106.7</v>
      </c>
      <c r="AM313" s="472">
        <f t="shared" si="410"/>
        <v>177.54978993210571</v>
      </c>
      <c r="AO313">
        <f t="shared" si="411"/>
        <v>106.7</v>
      </c>
      <c r="AP313">
        <f t="shared" si="412"/>
        <v>177.54978993210571</v>
      </c>
      <c r="AR313" s="6">
        <f t="shared" si="382"/>
        <v>5.6322229408572984</v>
      </c>
      <c r="AS313" s="6">
        <f t="shared" si="415"/>
        <v>3.4797810526315791</v>
      </c>
      <c r="AT313" s="6">
        <f t="shared" si="416"/>
        <v>2.1524418882257192</v>
      </c>
      <c r="AU313" s="179">
        <f t="shared" si="417"/>
        <v>0.61783439490445857</v>
      </c>
      <c r="CD313" s="581">
        <f t="shared" si="413"/>
        <v>-50</v>
      </c>
    </row>
    <row r="314" spans="5:82" x14ac:dyDescent="0.2">
      <c r="E314" s="176">
        <v>98</v>
      </c>
      <c r="F314" s="223">
        <f t="shared" si="423"/>
        <v>0.10779999999999999</v>
      </c>
      <c r="G314" s="223">
        <f t="shared" si="383"/>
        <v>0.19600000000000001</v>
      </c>
      <c r="H314" s="223">
        <f t="shared" si="384"/>
        <v>2.5871999999999997</v>
      </c>
      <c r="I314" s="223">
        <f t="shared" si="385"/>
        <v>2.3520000000000003</v>
      </c>
      <c r="J314" s="559">
        <f t="shared" si="386"/>
        <v>15</v>
      </c>
      <c r="K314" s="454">
        <f t="shared" si="387"/>
        <v>24.25</v>
      </c>
      <c r="L314" s="454">
        <f t="shared" si="388"/>
        <v>39.25</v>
      </c>
      <c r="M314" s="454"/>
      <c r="N314" s="223">
        <f t="shared" si="389"/>
        <v>0.61783439490445857</v>
      </c>
      <c r="O314" s="178">
        <f t="shared" si="418"/>
        <v>3.3434770245677887</v>
      </c>
      <c r="P314" s="178">
        <f t="shared" si="391"/>
        <v>5.8027287203242626</v>
      </c>
      <c r="Q314" s="223">
        <f t="shared" si="392"/>
        <v>0.13931154269032453</v>
      </c>
      <c r="R314" s="223">
        <f t="shared" si="393"/>
        <v>0.27862308538064906</v>
      </c>
      <c r="S314" s="223">
        <f t="shared" si="394"/>
        <v>24</v>
      </c>
      <c r="T314" s="223">
        <f t="shared" si="395"/>
        <v>1.1220175800325556</v>
      </c>
      <c r="U314" s="223">
        <f t="shared" si="396"/>
        <v>3.5156550841020069</v>
      </c>
      <c r="V314" s="223">
        <f t="shared" si="397"/>
        <v>2.1746320107847468</v>
      </c>
      <c r="W314" s="203">
        <f t="shared" si="398"/>
        <v>350</v>
      </c>
      <c r="X314" s="454">
        <f t="shared" si="399"/>
        <v>175.73805738177813</v>
      </c>
      <c r="Z314" s="223">
        <f t="shared" si="400"/>
        <v>0.56337482818035733</v>
      </c>
      <c r="AA314" s="179">
        <f t="shared" si="401"/>
        <v>1.0919017288444037</v>
      </c>
      <c r="AB314" s="179">
        <f t="shared" si="419"/>
        <v>5.6388745313775496E-2</v>
      </c>
      <c r="AC314" s="179"/>
      <c r="AD314" s="179">
        <f t="shared" si="403"/>
        <v>0.56206185567010303</v>
      </c>
      <c r="AE314" s="563">
        <f t="shared" si="420"/>
        <v>1322.7161180964911</v>
      </c>
      <c r="AF314" s="546">
        <f t="shared" si="405"/>
        <v>2.8524639175257726E-2</v>
      </c>
      <c r="AH314" s="179">
        <f t="shared" si="406"/>
        <v>0.77492621474426349</v>
      </c>
      <c r="AI314" s="179">
        <f t="shared" si="421"/>
        <v>1.1220175800325556</v>
      </c>
      <c r="AJ314" s="179">
        <f t="shared" si="422"/>
        <v>1.8163093185426338</v>
      </c>
      <c r="AL314" s="563">
        <f t="shared" si="409"/>
        <v>107.8</v>
      </c>
      <c r="AM314" s="472">
        <f t="shared" si="410"/>
        <v>175.73805738177813</v>
      </c>
      <c r="AO314">
        <f t="shared" si="411"/>
        <v>107.8</v>
      </c>
      <c r="AP314">
        <f t="shared" si="412"/>
        <v>175.73805738177813</v>
      </c>
      <c r="AR314" s="6">
        <f t="shared" si="382"/>
        <v>5.6902870948867541</v>
      </c>
      <c r="AS314" s="6">
        <f t="shared" si="415"/>
        <v>3.5156550841020069</v>
      </c>
      <c r="AT314" s="6">
        <f t="shared" si="416"/>
        <v>2.1746320107847472</v>
      </c>
      <c r="AU314" s="179">
        <f t="shared" si="417"/>
        <v>0.61783439490445857</v>
      </c>
      <c r="CD314" s="581">
        <f t="shared" si="413"/>
        <v>-50</v>
      </c>
    </row>
    <row r="315" spans="5:82" x14ac:dyDescent="0.2">
      <c r="E315" s="176">
        <v>99</v>
      </c>
      <c r="F315" s="223">
        <f t="shared" si="423"/>
        <v>0.1089</v>
      </c>
      <c r="G315" s="223">
        <f t="shared" si="383"/>
        <v>0.19800000000000001</v>
      </c>
      <c r="H315" s="223">
        <f t="shared" si="384"/>
        <v>2.6135999999999999</v>
      </c>
      <c r="I315" s="223">
        <f t="shared" si="385"/>
        <v>2.3760000000000003</v>
      </c>
      <c r="J315" s="559">
        <f t="shared" si="386"/>
        <v>15</v>
      </c>
      <c r="K315" s="454">
        <f t="shared" si="387"/>
        <v>24.25</v>
      </c>
      <c r="L315" s="454">
        <f t="shared" si="388"/>
        <v>39.25</v>
      </c>
      <c r="M315" s="454"/>
      <c r="N315" s="223">
        <f t="shared" si="389"/>
        <v>0.61783439490445857</v>
      </c>
      <c r="O315" s="178">
        <f t="shared" si="418"/>
        <v>3.3434770245677887</v>
      </c>
      <c r="P315" s="178">
        <f t="shared" si="391"/>
        <v>5.8027287203242626</v>
      </c>
      <c r="Q315" s="223">
        <f t="shared" si="392"/>
        <v>0.13931154269032453</v>
      </c>
      <c r="R315" s="223">
        <f t="shared" si="393"/>
        <v>0.27862308538064906</v>
      </c>
      <c r="S315" s="223">
        <f t="shared" si="394"/>
        <v>24</v>
      </c>
      <c r="T315" s="223">
        <f t="shared" si="395"/>
        <v>1.13346673901248</v>
      </c>
      <c r="U315" s="223">
        <f t="shared" si="396"/>
        <v>3.5515291155724369</v>
      </c>
      <c r="V315" s="223">
        <f t="shared" si="397"/>
        <v>2.1968221333437756</v>
      </c>
      <c r="W315" s="203">
        <f t="shared" si="398"/>
        <v>350</v>
      </c>
      <c r="X315" s="454">
        <f t="shared" si="399"/>
        <v>173.96292548903287</v>
      </c>
      <c r="Z315" s="223">
        <f t="shared" si="400"/>
        <v>0.56337482818035733</v>
      </c>
      <c r="AA315" s="179">
        <f t="shared" si="401"/>
        <v>1.0919017288444037</v>
      </c>
      <c r="AB315" s="179">
        <f t="shared" si="419"/>
        <v>5.6388745313775496E-2</v>
      </c>
      <c r="AC315" s="179"/>
      <c r="AD315" s="179">
        <f t="shared" si="403"/>
        <v>0.56206185567010303</v>
      </c>
      <c r="AE315" s="563">
        <f t="shared" si="420"/>
        <v>1336.2132213423738</v>
      </c>
      <c r="AF315" s="546">
        <f t="shared" si="405"/>
        <v>2.8524639175257726E-2</v>
      </c>
      <c r="AH315" s="179">
        <f t="shared" si="406"/>
        <v>0.77886988507217336</v>
      </c>
      <c r="AI315" s="179">
        <f t="shared" si="421"/>
        <v>1.13346673901248</v>
      </c>
      <c r="AJ315" s="179">
        <f t="shared" si="422"/>
        <v>1.8247901770462813</v>
      </c>
      <c r="AL315" s="563">
        <f t="shared" si="409"/>
        <v>108.89999999999999</v>
      </c>
      <c r="AM315" s="472">
        <f t="shared" si="410"/>
        <v>173.96292548903287</v>
      </c>
      <c r="AO315">
        <f t="shared" si="411"/>
        <v>108.89999999999999</v>
      </c>
      <c r="AP315">
        <f t="shared" si="412"/>
        <v>173.96292548903287</v>
      </c>
      <c r="AR315" s="6">
        <f t="shared" si="382"/>
        <v>5.7483512489162116</v>
      </c>
      <c r="AS315" s="6">
        <f t="shared" si="415"/>
        <v>3.5515291155724369</v>
      </c>
      <c r="AT315" s="6">
        <f t="shared" si="416"/>
        <v>2.1968221333437747</v>
      </c>
      <c r="AU315" s="179">
        <f t="shared" si="417"/>
        <v>0.61783439490445868</v>
      </c>
      <c r="CD315" s="581">
        <f t="shared" si="413"/>
        <v>-50</v>
      </c>
    </row>
    <row r="316" spans="5:82" x14ac:dyDescent="0.2">
      <c r="E316" s="176">
        <v>100</v>
      </c>
      <c r="F316" s="223">
        <f t="shared" si="423"/>
        <v>0.11</v>
      </c>
      <c r="G316" s="223">
        <f t="shared" si="383"/>
        <v>0.2</v>
      </c>
      <c r="H316" s="223">
        <f t="shared" si="384"/>
        <v>2.64</v>
      </c>
      <c r="I316" s="223">
        <f t="shared" si="385"/>
        <v>2.4000000000000004</v>
      </c>
      <c r="J316" s="559">
        <f t="shared" si="386"/>
        <v>15</v>
      </c>
      <c r="K316" s="454">
        <f t="shared" si="387"/>
        <v>24.25</v>
      </c>
      <c r="L316" s="454">
        <f t="shared" si="388"/>
        <v>39.25</v>
      </c>
      <c r="M316" s="454"/>
      <c r="N316" s="223">
        <f t="shared" si="389"/>
        <v>0.61783439490445857</v>
      </c>
      <c r="O316" s="178">
        <f t="shared" si="418"/>
        <v>3.3434770245677887</v>
      </c>
      <c r="P316" s="178">
        <f t="shared" si="391"/>
        <v>5.8027287203242626</v>
      </c>
      <c r="Q316" s="223">
        <f t="shared" si="392"/>
        <v>0.13931154269032453</v>
      </c>
      <c r="R316" s="223">
        <f t="shared" si="393"/>
        <v>0.27862308538064906</v>
      </c>
      <c r="S316" s="223">
        <f t="shared" si="394"/>
        <v>24</v>
      </c>
      <c r="T316" s="223">
        <f t="shared" si="395"/>
        <v>1.1449158979924041</v>
      </c>
      <c r="U316" s="223">
        <f t="shared" si="396"/>
        <v>3.587403147042866</v>
      </c>
      <c r="V316" s="223">
        <f t="shared" si="397"/>
        <v>2.2190122559028036</v>
      </c>
      <c r="W316" s="203">
        <f t="shared" si="398"/>
        <v>350</v>
      </c>
      <c r="X316" s="454">
        <f t="shared" si="399"/>
        <v>172.22329623414251</v>
      </c>
      <c r="Z316" s="223">
        <f t="shared" si="400"/>
        <v>0.56337482818035733</v>
      </c>
      <c r="AA316" s="179">
        <f t="shared" si="401"/>
        <v>1.0919017288444037</v>
      </c>
      <c r="AB316" s="179">
        <f t="shared" si="419"/>
        <v>5.6388745313775496E-2</v>
      </c>
      <c r="AC316" s="179"/>
      <c r="AD316" s="179">
        <f t="shared" si="403"/>
        <v>0.56206185567010303</v>
      </c>
      <c r="AE316" s="563">
        <f t="shared" si="420"/>
        <v>1349.7103245882565</v>
      </c>
      <c r="AF316" s="546">
        <f t="shared" si="405"/>
        <v>2.8524639175257726E-2</v>
      </c>
      <c r="AH316" s="179">
        <f t="shared" si="406"/>
        <v>0.78279368766413071</v>
      </c>
      <c r="AI316" s="179">
        <f t="shared" si="421"/>
        <v>1.1449158979924041</v>
      </c>
      <c r="AJ316" s="179">
        <f t="shared" si="422"/>
        <v>1.8332710355499289</v>
      </c>
      <c r="AL316" s="563">
        <f t="shared" si="409"/>
        <v>110</v>
      </c>
      <c r="AM316" s="472">
        <f t="shared" si="410"/>
        <v>172.22329623414251</v>
      </c>
      <c r="AO316">
        <f t="shared" si="411"/>
        <v>110</v>
      </c>
      <c r="AP316">
        <f t="shared" si="412"/>
        <v>172.22329623414251</v>
      </c>
      <c r="AR316" s="6">
        <f t="shared" si="382"/>
        <v>5.8064154029456692</v>
      </c>
      <c r="AS316" s="6">
        <f t="shared" si="415"/>
        <v>3.587403147042866</v>
      </c>
      <c r="AT316" s="6">
        <f t="shared" si="416"/>
        <v>2.2190122559028032</v>
      </c>
      <c r="AU316" s="179">
        <f t="shared" si="417"/>
        <v>0.61783439490445868</v>
      </c>
      <c r="CD316" s="581">
        <f t="shared" si="413"/>
        <v>-50</v>
      </c>
    </row>
    <row r="317" spans="5:82" x14ac:dyDescent="0.2">
      <c r="E317" s="176"/>
      <c r="F317" s="223"/>
      <c r="G317" s="223"/>
    </row>
  </sheetData>
  <mergeCells count="1">
    <mergeCell ref="N3:Z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C3:S106"/>
  <sheetViews>
    <sheetView workbookViewId="0">
      <selection activeCell="V6" sqref="V6"/>
    </sheetView>
  </sheetViews>
  <sheetFormatPr defaultRowHeight="12.75" x14ac:dyDescent="0.2"/>
  <cols>
    <col min="3" max="3" width="7.7109375" customWidth="1"/>
    <col min="5" max="5" width="10.28515625" customWidth="1"/>
    <col min="7" max="7" width="10.7109375" customWidth="1"/>
    <col min="8" max="8" width="9.7109375" customWidth="1"/>
    <col min="9" max="9" width="9.5703125" customWidth="1"/>
    <col min="10" max="10" width="8.7109375" customWidth="1"/>
    <col min="11" max="11" width="9.85546875" customWidth="1"/>
    <col min="12" max="12" width="10.7109375" customWidth="1"/>
    <col min="13" max="13" width="15" customWidth="1"/>
    <col min="14" max="14" width="11.42578125" customWidth="1"/>
    <col min="15" max="16" width="11" customWidth="1"/>
    <col min="17" max="17" width="11.140625" customWidth="1"/>
    <col min="18" max="18" width="11.28515625" customWidth="1"/>
    <col min="19" max="19" width="5.140625" customWidth="1"/>
  </cols>
  <sheetData>
    <row r="3" spans="3:19" ht="13.5" thickBot="1" x14ac:dyDescent="0.25"/>
    <row r="4" spans="3:19" x14ac:dyDescent="0.2">
      <c r="C4" s="226" t="s">
        <v>432</v>
      </c>
      <c r="D4" s="227"/>
      <c r="E4" s="228"/>
      <c r="F4" s="689" t="s">
        <v>190</v>
      </c>
      <c r="G4" s="690"/>
      <c r="H4" s="689"/>
      <c r="I4" s="689"/>
      <c r="J4" s="689"/>
      <c r="K4" s="690"/>
      <c r="L4" s="690"/>
      <c r="M4" s="690"/>
      <c r="N4" s="689"/>
      <c r="O4" s="692"/>
      <c r="P4" s="551"/>
      <c r="Q4" s="551"/>
      <c r="R4" s="551"/>
      <c r="S4" s="551"/>
    </row>
    <row r="5" spans="3:19" ht="45" customHeight="1" thickBot="1" x14ac:dyDescent="0.25">
      <c r="C5" s="247" t="s">
        <v>25</v>
      </c>
      <c r="D5" s="248" t="s">
        <v>423</v>
      </c>
      <c r="E5" s="249" t="s">
        <v>429</v>
      </c>
      <c r="F5" s="250" t="s">
        <v>48</v>
      </c>
      <c r="G5" s="545" t="s">
        <v>413</v>
      </c>
      <c r="H5" s="545" t="s">
        <v>414</v>
      </c>
      <c r="I5" s="545" t="s">
        <v>424</v>
      </c>
      <c r="J5" s="545" t="s">
        <v>425</v>
      </c>
      <c r="K5" s="545" t="s">
        <v>426</v>
      </c>
      <c r="L5" s="545" t="s">
        <v>427</v>
      </c>
      <c r="M5" s="252" t="s">
        <v>430</v>
      </c>
      <c r="N5" s="251" t="s">
        <v>431</v>
      </c>
      <c r="O5" s="251" t="s">
        <v>428</v>
      </c>
      <c r="P5" s="251" t="s">
        <v>433</v>
      </c>
      <c r="Q5" s="251" t="s">
        <v>434</v>
      </c>
      <c r="R5" s="251" t="s">
        <v>435</v>
      </c>
      <c r="S5" s="251"/>
    </row>
    <row r="6" spans="3:19" x14ac:dyDescent="0.2">
      <c r="C6" s="176">
        <v>0.1</v>
      </c>
      <c r="D6" s="547">
        <f>VIN_min</f>
        <v>10</v>
      </c>
      <c r="E6" s="454">
        <f t="shared" ref="E6:E37" si="0">(Vout+Vfwd1)*Nps</f>
        <v>24.25</v>
      </c>
      <c r="F6" s="223">
        <f t="shared" ref="F6:F37" si="1">(Vout+Vfwd1)*Nps/((Vout+Vfwd1)*Nps+D6)</f>
        <v>0.70802919708029199</v>
      </c>
      <c r="G6" s="178">
        <f t="shared" ref="G6:G37" si="2">F6*D6*Isw_max*0.5*Efficiency</f>
        <v>4.8765510948905106</v>
      </c>
      <c r="H6" s="223">
        <f t="shared" ref="H6:H37" si="3">G6/Vout</f>
        <v>0.20318962895377127</v>
      </c>
      <c r="I6" s="454">
        <f t="shared" ref="I6:I37" si="4">(Vout+Vfwd1)*Nps+D6</f>
        <v>34.25</v>
      </c>
      <c r="J6" s="178">
        <f t="shared" ref="J6:J37" si="5">MIN(2*Vout*Iout/(Efficiency*D6*F6), 1.35)</f>
        <v>0.7849810092240912</v>
      </c>
      <c r="K6" s="178">
        <f t="shared" ref="K6:K37" si="6">L*J6/D6*1000000</f>
        <v>3.6894107433532284</v>
      </c>
      <c r="L6" s="178">
        <f t="shared" ref="L6:L37" si="7">L*J6/((Vout+Vfwd1)*Nps)*1000000</f>
        <v>1.5214064921044239</v>
      </c>
      <c r="M6" s="454">
        <f>MIN(1/(K6+L6)*1000, 350)</f>
        <v>191.90847708021229</v>
      </c>
      <c r="N6" s="203">
        <f t="shared" ref="N6:N37" si="8">IF(1/((350000*L)*(1/D6+1/E6))&gt;Isw_min, 350, 0.001/((Isw_min*L)*(1/D6+1/E6)))</f>
        <v>350</v>
      </c>
      <c r="O6" s="223">
        <f t="shared" ref="O6:O37" si="9">1/((N6*1000*L)*(1/D6+1/E6))</f>
        <v>0.43041288576309544</v>
      </c>
      <c r="P6" s="179">
        <f t="shared" ref="P6:P37" si="10">L*O6/E6*1000000</f>
        <v>0.83420229405630864</v>
      </c>
      <c r="Q6" s="179">
        <f t="shared" ref="Q6:Q37" si="11">0.5*P6*O6*Nps*N6/1000</f>
        <v>6.2833997921619769E-2</v>
      </c>
      <c r="R6" s="179">
        <f t="shared" ref="R6:R37" si="12">L*Isw_min/E6*1000000</f>
        <v>0.56206185567010303</v>
      </c>
    </row>
    <row r="7" spans="3:19" x14ac:dyDescent="0.2">
      <c r="C7" s="176">
        <v>1</v>
      </c>
      <c r="D7" s="6">
        <f t="shared" ref="D7:D38" si="13">C7/100*(VIN_max-VIN_min)+VIN_min</f>
        <v>10.050000000000001</v>
      </c>
      <c r="E7" s="454">
        <f t="shared" si="0"/>
        <v>24.25</v>
      </c>
      <c r="F7" s="223">
        <f t="shared" si="1"/>
        <v>0.70699708454810506</v>
      </c>
      <c r="G7" s="178">
        <f t="shared" si="2"/>
        <v>4.8937896319241991</v>
      </c>
      <c r="H7" s="223">
        <f t="shared" si="3"/>
        <v>0.20390790133017497</v>
      </c>
      <c r="I7" s="454">
        <f t="shared" si="4"/>
        <v>34.299999999999997</v>
      </c>
      <c r="J7" s="178">
        <f t="shared" si="5"/>
        <v>0.78221588746446824</v>
      </c>
      <c r="K7" s="178">
        <f t="shared" si="6"/>
        <v>3.6581240508288562</v>
      </c>
      <c r="L7" s="178">
        <f t="shared" si="7"/>
        <v>1.5160472870445363</v>
      </c>
      <c r="M7" s="454">
        <f t="shared" ref="M7:M70" si="14">MIN(1/(K7+L7)*1000, 350)</f>
        <v>193.26766252990078</v>
      </c>
      <c r="N7" s="203">
        <f t="shared" si="8"/>
        <v>350</v>
      </c>
      <c r="O7" s="223">
        <f t="shared" si="9"/>
        <v>0.43193438904002773</v>
      </c>
      <c r="P7" s="179">
        <f t="shared" si="10"/>
        <v>0.83715118700541447</v>
      </c>
      <c r="Q7" s="179">
        <f t="shared" si="11"/>
        <v>6.3279017636330606E-2</v>
      </c>
      <c r="R7" s="179">
        <f t="shared" si="12"/>
        <v>0.56206185567010303</v>
      </c>
    </row>
    <row r="8" spans="3:19" x14ac:dyDescent="0.2">
      <c r="C8" s="176">
        <v>2</v>
      </c>
      <c r="D8" s="6">
        <f t="shared" si="13"/>
        <v>10.1</v>
      </c>
      <c r="E8" s="454">
        <f t="shared" si="0"/>
        <v>24.25</v>
      </c>
      <c r="F8" s="223">
        <f t="shared" si="1"/>
        <v>0.70596797671033473</v>
      </c>
      <c r="G8" s="178">
        <f t="shared" si="2"/>
        <v>4.9109779839883538</v>
      </c>
      <c r="H8" s="223">
        <f t="shared" si="3"/>
        <v>0.2046240826661814</v>
      </c>
      <c r="I8" s="454">
        <f t="shared" si="4"/>
        <v>34.35</v>
      </c>
      <c r="J8" s="178">
        <f t="shared" si="5"/>
        <v>0.77947814314801012</v>
      </c>
      <c r="K8" s="178">
        <f t="shared" si="6"/>
        <v>3.6272745275204432</v>
      </c>
      <c r="L8" s="178">
        <f t="shared" si="7"/>
        <v>1.5107411434208857</v>
      </c>
      <c r="M8" s="454">
        <f t="shared" si="14"/>
        <v>194.62766640740733</v>
      </c>
      <c r="N8" s="203">
        <f t="shared" si="8"/>
        <v>350</v>
      </c>
      <c r="O8" s="223">
        <f t="shared" si="9"/>
        <v>0.43345146290421771</v>
      </c>
      <c r="P8" s="179">
        <f t="shared" si="10"/>
        <v>0.84009149511332903</v>
      </c>
      <c r="Q8" s="179">
        <f t="shared" si="11"/>
        <v>6.3724305317796187E-2</v>
      </c>
      <c r="R8" s="179">
        <f t="shared" si="12"/>
        <v>0.56206185567010303</v>
      </c>
    </row>
    <row r="9" spans="3:19" x14ac:dyDescent="0.2">
      <c r="C9" s="176">
        <v>3</v>
      </c>
      <c r="D9" s="6">
        <f t="shared" si="13"/>
        <v>10.15</v>
      </c>
      <c r="E9" s="454">
        <f t="shared" si="0"/>
        <v>24.25</v>
      </c>
      <c r="F9" s="223">
        <f t="shared" si="1"/>
        <v>0.70494186046511631</v>
      </c>
      <c r="G9" s="178">
        <f t="shared" si="2"/>
        <v>4.9281163699127903</v>
      </c>
      <c r="H9" s="223">
        <f t="shared" si="3"/>
        <v>0.20533818207969959</v>
      </c>
      <c r="I9" s="454">
        <f t="shared" si="4"/>
        <v>34.4</v>
      </c>
      <c r="J9" s="178">
        <f t="shared" si="5"/>
        <v>0.77676737168195997</v>
      </c>
      <c r="K9" s="178">
        <f t="shared" si="6"/>
        <v>3.5968538393154792</v>
      </c>
      <c r="L9" s="178">
        <f t="shared" si="7"/>
        <v>1.505487277074314</v>
      </c>
      <c r="M9" s="454">
        <f t="shared" si="14"/>
        <v>195.98846435174428</v>
      </c>
      <c r="N9" s="203">
        <f t="shared" si="8"/>
        <v>350</v>
      </c>
      <c r="O9" s="223">
        <f t="shared" si="9"/>
        <v>0.43496412666996542</v>
      </c>
      <c r="P9" s="179">
        <f t="shared" si="10"/>
        <v>0.84302325581395354</v>
      </c>
      <c r="Q9" s="179">
        <f t="shared" si="11"/>
        <v>6.4169852989827761E-2</v>
      </c>
      <c r="R9" s="179">
        <f t="shared" si="12"/>
        <v>0.56206185567010303</v>
      </c>
    </row>
    <row r="10" spans="3:19" x14ac:dyDescent="0.2">
      <c r="C10" s="176">
        <v>4</v>
      </c>
      <c r="D10" s="6">
        <f t="shared" si="13"/>
        <v>10.199999999999999</v>
      </c>
      <c r="E10" s="454">
        <f t="shared" si="0"/>
        <v>24.25</v>
      </c>
      <c r="F10" s="223">
        <f t="shared" si="1"/>
        <v>0.70391872278664724</v>
      </c>
      <c r="G10" s="178">
        <f t="shared" si="2"/>
        <v>4.9452050072568925</v>
      </c>
      <c r="H10" s="223">
        <f t="shared" si="3"/>
        <v>0.20605020863570386</v>
      </c>
      <c r="I10" s="454">
        <f t="shared" si="4"/>
        <v>34.450000000000003</v>
      </c>
      <c r="J10" s="178">
        <f t="shared" si="5"/>
        <v>0.77408317640675395</v>
      </c>
      <c r="K10" s="178">
        <f t="shared" si="6"/>
        <v>3.5668538520703366</v>
      </c>
      <c r="L10" s="178">
        <f t="shared" si="7"/>
        <v>1.5002849192213374</v>
      </c>
      <c r="M10" s="454">
        <f t="shared" si="14"/>
        <v>197.35003226388608</v>
      </c>
      <c r="N10" s="203">
        <f t="shared" si="8"/>
        <v>350</v>
      </c>
      <c r="O10" s="223">
        <f t="shared" si="9"/>
        <v>0.43647239953944089</v>
      </c>
      <c r="P10" s="179">
        <f t="shared" si="10"/>
        <v>0.8459465063238647</v>
      </c>
      <c r="Q10" s="179">
        <f t="shared" si="11"/>
        <v>6.4615652762007217E-2</v>
      </c>
      <c r="R10" s="179">
        <f t="shared" si="12"/>
        <v>0.56206185567010303</v>
      </c>
    </row>
    <row r="11" spans="3:19" x14ac:dyDescent="0.2">
      <c r="C11" s="176">
        <v>5</v>
      </c>
      <c r="D11" s="6">
        <f t="shared" si="13"/>
        <v>10.25</v>
      </c>
      <c r="E11" s="454">
        <f t="shared" si="0"/>
        <v>24.25</v>
      </c>
      <c r="F11" s="223">
        <f t="shared" si="1"/>
        <v>0.70289855072463769</v>
      </c>
      <c r="G11" s="178">
        <f t="shared" si="2"/>
        <v>4.9622441123188397</v>
      </c>
      <c r="H11" s="223">
        <f t="shared" si="3"/>
        <v>0.20676017134661831</v>
      </c>
      <c r="I11" s="454">
        <f t="shared" si="4"/>
        <v>34.5</v>
      </c>
      <c r="J11" s="178">
        <f t="shared" si="5"/>
        <v>0.77142516840252517</v>
      </c>
      <c r="K11" s="178">
        <f t="shared" si="6"/>
        <v>3.5372666258457253</v>
      </c>
      <c r="L11" s="178">
        <f t="shared" si="7"/>
        <v>1.4951333160791207</v>
      </c>
      <c r="M11" s="454">
        <f t="shared" si="14"/>
        <v>198.71234630400011</v>
      </c>
      <c r="N11" s="203">
        <f t="shared" si="8"/>
        <v>350</v>
      </c>
      <c r="O11" s="223">
        <f t="shared" si="9"/>
        <v>0.43797630060349768</v>
      </c>
      <c r="P11" s="179">
        <f t="shared" si="10"/>
        <v>0.84886128364389235</v>
      </c>
      <c r="Q11" s="179">
        <f t="shared" si="11"/>
        <v>6.5061696828780449E-2</v>
      </c>
      <c r="R11" s="179">
        <f t="shared" si="12"/>
        <v>0.56206185567010303</v>
      </c>
    </row>
    <row r="12" spans="3:19" x14ac:dyDescent="0.2">
      <c r="C12" s="176">
        <v>6</v>
      </c>
      <c r="D12" s="6">
        <f t="shared" si="13"/>
        <v>10.3</v>
      </c>
      <c r="E12" s="454">
        <f t="shared" si="0"/>
        <v>24.25</v>
      </c>
      <c r="F12" s="223">
        <f t="shared" si="1"/>
        <v>0.70188133140376274</v>
      </c>
      <c r="G12" s="178">
        <f t="shared" si="2"/>
        <v>4.9792339001447186</v>
      </c>
      <c r="H12" s="223">
        <f t="shared" si="3"/>
        <v>0.20746807917269661</v>
      </c>
      <c r="I12" s="454">
        <f t="shared" si="4"/>
        <v>34.549999999999997</v>
      </c>
      <c r="J12" s="178">
        <f t="shared" si="5"/>
        <v>0.76879296630125005</v>
      </c>
      <c r="K12" s="178">
        <f t="shared" si="6"/>
        <v>3.5080844093358006</v>
      </c>
      <c r="L12" s="178">
        <f t="shared" si="7"/>
        <v>1.4900317285013918</v>
      </c>
      <c r="M12" s="454">
        <f t="shared" si="14"/>
        <v>200.07538288870668</v>
      </c>
      <c r="N12" s="203">
        <f t="shared" si="8"/>
        <v>350</v>
      </c>
      <c r="O12" s="223">
        <f t="shared" si="9"/>
        <v>0.43947584884247759</v>
      </c>
      <c r="P12" s="179">
        <f t="shared" si="10"/>
        <v>0.85176762456067823</v>
      </c>
      <c r="Q12" s="179">
        <f t="shared" si="11"/>
        <v>6.5507977468560352E-2</v>
      </c>
      <c r="R12" s="179">
        <f t="shared" si="12"/>
        <v>0.56206185567010303</v>
      </c>
    </row>
    <row r="13" spans="3:19" x14ac:dyDescent="0.2">
      <c r="C13" s="176">
        <v>7</v>
      </c>
      <c r="D13" s="6">
        <f t="shared" si="13"/>
        <v>10.35</v>
      </c>
      <c r="E13" s="454">
        <f t="shared" si="0"/>
        <v>24.25</v>
      </c>
      <c r="F13" s="223">
        <f t="shared" si="1"/>
        <v>0.70086705202312138</v>
      </c>
      <c r="G13" s="178">
        <f t="shared" si="2"/>
        <v>4.9961745845375711</v>
      </c>
      <c r="H13" s="223">
        <f t="shared" si="3"/>
        <v>0.20817394102239881</v>
      </c>
      <c r="I13" s="454">
        <f t="shared" si="4"/>
        <v>34.6</v>
      </c>
      <c r="J13" s="178">
        <f t="shared" si="5"/>
        <v>0.76618619610433525</v>
      </c>
      <c r="K13" s="178">
        <f t="shared" si="6"/>
        <v>3.4792996344834548</v>
      </c>
      <c r="L13" s="178">
        <f t="shared" si="7"/>
        <v>1.484979431624897</v>
      </c>
      <c r="M13" s="454">
        <f t="shared" si="14"/>
        <v>201.43911868837182</v>
      </c>
      <c r="N13" s="203">
        <f t="shared" si="8"/>
        <v>350</v>
      </c>
      <c r="O13" s="223">
        <f t="shared" si="9"/>
        <v>0.44097106312700957</v>
      </c>
      <c r="P13" s="179">
        <f t="shared" si="10"/>
        <v>0.8546655656482246</v>
      </c>
      <c r="Q13" s="179">
        <f t="shared" si="11"/>
        <v>6.5954487042840293E-2</v>
      </c>
      <c r="R13" s="179">
        <f t="shared" si="12"/>
        <v>0.56206185567010303</v>
      </c>
    </row>
    <row r="14" spans="3:19" s="78" customFormat="1" x14ac:dyDescent="0.2">
      <c r="C14" s="195">
        <v>8</v>
      </c>
      <c r="D14" s="552">
        <f t="shared" si="13"/>
        <v>10.4</v>
      </c>
      <c r="E14" s="553">
        <f t="shared" si="0"/>
        <v>24.25</v>
      </c>
      <c r="F14" s="335">
        <f t="shared" si="1"/>
        <v>0.69985569985569984</v>
      </c>
      <c r="G14" s="554">
        <f t="shared" si="2"/>
        <v>5.0130663780663784</v>
      </c>
      <c r="H14" s="335">
        <f t="shared" si="3"/>
        <v>0.20887776575276576</v>
      </c>
      <c r="I14" s="553">
        <f t="shared" si="4"/>
        <v>34.65</v>
      </c>
      <c r="J14" s="178">
        <f t="shared" si="5"/>
        <v>0.76360449100546779</v>
      </c>
      <c r="K14" s="554">
        <f t="shared" si="6"/>
        <v>3.4509049112747103</v>
      </c>
      <c r="L14" s="554">
        <f t="shared" si="7"/>
        <v>1.4799757145260612</v>
      </c>
      <c r="M14" s="553">
        <f t="shared" si="14"/>
        <v>202.80353062443095</v>
      </c>
      <c r="N14" s="555">
        <f t="shared" si="8"/>
        <v>350</v>
      </c>
      <c r="O14" s="335">
        <f t="shared" si="9"/>
        <v>0.44246196221880119</v>
      </c>
      <c r="P14" s="179">
        <f t="shared" si="10"/>
        <v>0.85755514326942905</v>
      </c>
      <c r="Q14" s="556">
        <f t="shared" si="11"/>
        <v>6.6401217995317938E-2</v>
      </c>
      <c r="R14" s="179">
        <f t="shared" si="12"/>
        <v>0.56206185567010303</v>
      </c>
    </row>
    <row r="15" spans="3:19" x14ac:dyDescent="0.2">
      <c r="C15" s="176">
        <v>9</v>
      </c>
      <c r="D15" s="6">
        <f t="shared" si="13"/>
        <v>10.45</v>
      </c>
      <c r="E15" s="454">
        <f t="shared" si="0"/>
        <v>24.25</v>
      </c>
      <c r="F15" s="223">
        <f t="shared" si="1"/>
        <v>0.69884726224783855</v>
      </c>
      <c r="G15" s="178">
        <f t="shared" si="2"/>
        <v>5.0299094920749274</v>
      </c>
      <c r="H15" s="223">
        <f t="shared" si="3"/>
        <v>0.20957956216978865</v>
      </c>
      <c r="I15" s="454">
        <f t="shared" si="4"/>
        <v>34.700000000000003</v>
      </c>
      <c r="J15" s="178">
        <f t="shared" si="5"/>
        <v>0.7610474912185512</v>
      </c>
      <c r="K15" s="178">
        <f t="shared" si="6"/>
        <v>3.4228930227054457</v>
      </c>
      <c r="L15" s="178">
        <f t="shared" si="7"/>
        <v>1.4750198798875012</v>
      </c>
      <c r="M15" s="454">
        <f t="shared" si="14"/>
        <v>204.16859586674187</v>
      </c>
      <c r="N15" s="203">
        <f t="shared" si="8"/>
        <v>350</v>
      </c>
      <c r="O15" s="223">
        <f t="shared" si="9"/>
        <v>0.44394856477142336</v>
      </c>
      <c r="P15" s="179">
        <f t="shared" si="10"/>
        <v>0.86043639357760393</v>
      </c>
      <c r="Q15" s="179">
        <f t="shared" si="11"/>
        <v>6.6848162851028445E-2</v>
      </c>
      <c r="R15" s="179">
        <f t="shared" si="12"/>
        <v>0.56206185567010303</v>
      </c>
    </row>
    <row r="16" spans="3:19" x14ac:dyDescent="0.2">
      <c r="C16" s="176">
        <v>10</v>
      </c>
      <c r="D16" s="6">
        <f t="shared" si="13"/>
        <v>10.5</v>
      </c>
      <c r="E16" s="454">
        <f t="shared" si="0"/>
        <v>24.25</v>
      </c>
      <c r="F16" s="223">
        <f t="shared" si="1"/>
        <v>0.69784172661870503</v>
      </c>
      <c r="G16" s="178">
        <f t="shared" si="2"/>
        <v>5.0467041366906473</v>
      </c>
      <c r="H16" s="223">
        <f t="shared" si="3"/>
        <v>0.21027933902877696</v>
      </c>
      <c r="I16" s="454">
        <f t="shared" si="4"/>
        <v>34.75</v>
      </c>
      <c r="J16" s="178">
        <f t="shared" si="5"/>
        <v>0.75851484381055745</v>
      </c>
      <c r="K16" s="178">
        <f t="shared" si="6"/>
        <v>3.3952569199139235</v>
      </c>
      <c r="L16" s="178">
        <f t="shared" si="7"/>
        <v>1.47011124367407</v>
      </c>
      <c r="M16" s="454">
        <f t="shared" si="14"/>
        <v>205.53429183096895</v>
      </c>
      <c r="N16" s="203">
        <f t="shared" si="8"/>
        <v>350</v>
      </c>
      <c r="O16" s="223">
        <f t="shared" si="9"/>
        <v>0.44543088933108843</v>
      </c>
      <c r="P16" s="179">
        <f t="shared" si="10"/>
        <v>0.86330935251798568</v>
      </c>
      <c r="Q16" s="179">
        <f t="shared" si="11"/>
        <v>6.7295314215488192E-2</v>
      </c>
      <c r="R16" s="179">
        <f t="shared" si="12"/>
        <v>0.56206185567010303</v>
      </c>
    </row>
    <row r="17" spans="3:18" x14ac:dyDescent="0.2">
      <c r="C17" s="176">
        <v>11</v>
      </c>
      <c r="D17" s="6">
        <f t="shared" si="13"/>
        <v>10.55</v>
      </c>
      <c r="E17" s="454">
        <f t="shared" si="0"/>
        <v>24.25</v>
      </c>
      <c r="F17" s="223">
        <f t="shared" si="1"/>
        <v>0.69683908045977017</v>
      </c>
      <c r="G17" s="178">
        <f t="shared" si="2"/>
        <v>5.0634505208333342</v>
      </c>
      <c r="H17" s="223">
        <f t="shared" si="3"/>
        <v>0.21097710503472225</v>
      </c>
      <c r="I17" s="454">
        <f t="shared" si="4"/>
        <v>34.799999999999997</v>
      </c>
      <c r="J17" s="178">
        <f t="shared" si="5"/>
        <v>0.7560062025391322</v>
      </c>
      <c r="K17" s="178">
        <f t="shared" si="6"/>
        <v>3.367989717472911</v>
      </c>
      <c r="L17" s="178">
        <f t="shared" si="7"/>
        <v>1.4652491348181118</v>
      </c>
      <c r="M17" s="454">
        <f t="shared" si="14"/>
        <v>206.90059617599613</v>
      </c>
      <c r="N17" s="203">
        <f t="shared" si="8"/>
        <v>350</v>
      </c>
      <c r="O17" s="223">
        <f t="shared" si="9"/>
        <v>0.44690895433742095</v>
      </c>
      <c r="P17" s="179">
        <f t="shared" si="10"/>
        <v>0.86617405582922813</v>
      </c>
      <c r="Q17" s="179">
        <f t="shared" si="11"/>
        <v>6.7742664773847563E-2</v>
      </c>
      <c r="R17" s="179">
        <f t="shared" si="12"/>
        <v>0.56206185567010303</v>
      </c>
    </row>
    <row r="18" spans="3:18" x14ac:dyDescent="0.2">
      <c r="C18" s="176">
        <v>12</v>
      </c>
      <c r="D18" s="6">
        <f t="shared" si="13"/>
        <v>10.6</v>
      </c>
      <c r="E18" s="454">
        <f t="shared" si="0"/>
        <v>24.25</v>
      </c>
      <c r="F18" s="223">
        <f t="shared" si="1"/>
        <v>0.69583931133428978</v>
      </c>
      <c r="G18" s="178">
        <f t="shared" si="2"/>
        <v>5.0801488522238154</v>
      </c>
      <c r="H18" s="223">
        <f t="shared" si="3"/>
        <v>0.21167286884265898</v>
      </c>
      <c r="I18" s="454">
        <f t="shared" si="4"/>
        <v>34.85</v>
      </c>
      <c r="J18" s="178">
        <f t="shared" si="5"/>
        <v>0.75352122769479635</v>
      </c>
      <c r="K18" s="178">
        <f t="shared" si="6"/>
        <v>3.3410846888354175</v>
      </c>
      <c r="L18" s="178">
        <f t="shared" si="7"/>
        <v>1.460432894913626</v>
      </c>
      <c r="M18" s="454">
        <f t="shared" si="14"/>
        <v>208.26748680137004</v>
      </c>
      <c r="N18" s="203">
        <f t="shared" si="8"/>
        <v>350</v>
      </c>
      <c r="O18" s="223">
        <f t="shared" si="9"/>
        <v>0.44838277812422328</v>
      </c>
      <c r="P18" s="179">
        <f t="shared" si="10"/>
        <v>0.86903053904488625</v>
      </c>
      <c r="Q18" s="179">
        <f t="shared" si="11"/>
        <v>6.8190207290054053E-2</v>
      </c>
      <c r="R18" s="179">
        <f t="shared" si="12"/>
        <v>0.56206185567010303</v>
      </c>
    </row>
    <row r="19" spans="3:18" x14ac:dyDescent="0.2">
      <c r="C19" s="176">
        <v>13</v>
      </c>
      <c r="D19" s="6">
        <f t="shared" si="13"/>
        <v>10.65</v>
      </c>
      <c r="E19" s="454">
        <f t="shared" si="0"/>
        <v>24.25</v>
      </c>
      <c r="F19" s="223">
        <f t="shared" si="1"/>
        <v>0.69484240687679089</v>
      </c>
      <c r="G19" s="178">
        <f t="shared" si="2"/>
        <v>5.0967993373925502</v>
      </c>
      <c r="H19" s="223">
        <f t="shared" si="3"/>
        <v>0.21236663905802292</v>
      </c>
      <c r="I19" s="454">
        <f t="shared" si="4"/>
        <v>34.9</v>
      </c>
      <c r="J19" s="178">
        <f t="shared" si="5"/>
        <v>0.75105958594759004</v>
      </c>
      <c r="K19" s="178">
        <f t="shared" si="6"/>
        <v>3.3145352619283313</v>
      </c>
      <c r="L19" s="178">
        <f t="shared" si="7"/>
        <v>1.4556618779190402</v>
      </c>
      <c r="M19" s="454">
        <f t="shared" si="14"/>
        <v>209.63494184477167</v>
      </c>
      <c r="N19" s="203">
        <f t="shared" si="8"/>
        <v>350</v>
      </c>
      <c r="O19" s="223">
        <f t="shared" si="9"/>
        <v>0.44985237892023244</v>
      </c>
      <c r="P19" s="179">
        <f t="shared" si="10"/>
        <v>0.87187883749488349</v>
      </c>
      <c r="Q19" s="179">
        <f t="shared" si="11"/>
        <v>6.863793460602402E-2</v>
      </c>
      <c r="R19" s="179">
        <f t="shared" si="12"/>
        <v>0.56206185567010303</v>
      </c>
    </row>
    <row r="20" spans="3:18" x14ac:dyDescent="0.2">
      <c r="C20" s="176">
        <v>14</v>
      </c>
      <c r="D20" s="6">
        <f t="shared" si="13"/>
        <v>10.7</v>
      </c>
      <c r="E20" s="454">
        <f t="shared" si="0"/>
        <v>24.25</v>
      </c>
      <c r="F20" s="223">
        <f t="shared" si="1"/>
        <v>0.6938483547925608</v>
      </c>
      <c r="G20" s="178">
        <f t="shared" si="2"/>
        <v>5.1134021816881248</v>
      </c>
      <c r="H20" s="223">
        <f t="shared" si="3"/>
        <v>0.21305842423700519</v>
      </c>
      <c r="I20" s="454">
        <f t="shared" si="4"/>
        <v>34.950000000000003</v>
      </c>
      <c r="J20" s="178">
        <f t="shared" si="5"/>
        <v>0.74862095019802144</v>
      </c>
      <c r="K20" s="178">
        <f t="shared" si="6"/>
        <v>3.2883350148885055</v>
      </c>
      <c r="L20" s="178">
        <f t="shared" si="7"/>
        <v>1.4509354498683302</v>
      </c>
      <c r="M20" s="454">
        <f t="shared" si="14"/>
        <v>211.00293967951634</v>
      </c>
      <c r="N20" s="203">
        <f t="shared" si="8"/>
        <v>350</v>
      </c>
      <c r="O20" s="223">
        <f t="shared" si="9"/>
        <v>0.4513177748498724</v>
      </c>
      <c r="P20" s="179">
        <f t="shared" si="10"/>
        <v>0.87471898630696909</v>
      </c>
      <c r="Q20" s="179">
        <f t="shared" si="11"/>
        <v>6.9085839640824528E-2</v>
      </c>
      <c r="R20" s="179">
        <f t="shared" si="12"/>
        <v>0.56206185567010303</v>
      </c>
    </row>
    <row r="21" spans="3:18" x14ac:dyDescent="0.2">
      <c r="C21" s="176">
        <v>15</v>
      </c>
      <c r="D21" s="6">
        <f t="shared" si="13"/>
        <v>10.75</v>
      </c>
      <c r="E21" s="454">
        <f t="shared" si="0"/>
        <v>24.25</v>
      </c>
      <c r="F21" s="223">
        <f t="shared" si="1"/>
        <v>0.69285714285714284</v>
      </c>
      <c r="G21" s="178">
        <f t="shared" si="2"/>
        <v>5.1299575892857137</v>
      </c>
      <c r="H21" s="223">
        <f t="shared" si="3"/>
        <v>0.21374823288690473</v>
      </c>
      <c r="I21" s="454">
        <f t="shared" si="4"/>
        <v>35</v>
      </c>
      <c r="J21" s="178">
        <f t="shared" si="5"/>
        <v>0.74620499943216956</v>
      </c>
      <c r="K21" s="178">
        <f t="shared" si="6"/>
        <v>3.2624776719359967</v>
      </c>
      <c r="L21" s="178">
        <f t="shared" si="7"/>
        <v>1.446252988590184</v>
      </c>
      <c r="M21" s="454">
        <f t="shared" si="14"/>
        <v>212.37145891208274</v>
      </c>
      <c r="N21" s="203">
        <f t="shared" si="8"/>
        <v>350</v>
      </c>
      <c r="O21" s="223">
        <f t="shared" si="9"/>
        <v>0.45277898393399918</v>
      </c>
      <c r="P21" s="179">
        <f t="shared" si="10"/>
        <v>0.87755102040816335</v>
      </c>
      <c r="Q21" s="179">
        <f t="shared" si="11"/>
        <v>6.9533915389864157E-2</v>
      </c>
      <c r="R21" s="179">
        <f t="shared" si="12"/>
        <v>0.56206185567010303</v>
      </c>
    </row>
    <row r="22" spans="3:18" s="4" customFormat="1" x14ac:dyDescent="0.2">
      <c r="C22" s="339">
        <v>16</v>
      </c>
      <c r="D22" s="548">
        <f t="shared" si="13"/>
        <v>10.8</v>
      </c>
      <c r="E22" s="549">
        <f t="shared" si="0"/>
        <v>24.25</v>
      </c>
      <c r="F22" s="550">
        <f t="shared" si="1"/>
        <v>0.69186875891583455</v>
      </c>
      <c r="G22" s="338">
        <f t="shared" si="2"/>
        <v>5.1464657631954349</v>
      </c>
      <c r="H22" s="550">
        <f t="shared" si="3"/>
        <v>0.21443607346647645</v>
      </c>
      <c r="I22" s="549">
        <f t="shared" si="4"/>
        <v>35.049999999999997</v>
      </c>
      <c r="J22" s="178">
        <f t="shared" si="5"/>
        <v>0.74381141858081634</v>
      </c>
      <c r="K22" s="338">
        <f t="shared" si="6"/>
        <v>3.2369570993794778</v>
      </c>
      <c r="L22" s="338">
        <f t="shared" si="7"/>
        <v>1.4416138834349841</v>
      </c>
      <c r="M22" s="549">
        <f t="shared" si="14"/>
        <v>213.74047837966876</v>
      </c>
      <c r="N22" s="341">
        <f t="shared" si="8"/>
        <v>350</v>
      </c>
      <c r="O22" s="550">
        <f t="shared" si="9"/>
        <v>0.45423602409063918</v>
      </c>
      <c r="P22" s="179">
        <f t="shared" si="10"/>
        <v>0.88037497452618729</v>
      </c>
      <c r="Q22" s="557">
        <f t="shared" si="11"/>
        <v>6.9982154924092779E-2</v>
      </c>
      <c r="R22" s="179">
        <f t="shared" si="12"/>
        <v>0.56206185567010303</v>
      </c>
    </row>
    <row r="23" spans="3:18" x14ac:dyDescent="0.2">
      <c r="C23" s="176">
        <v>17</v>
      </c>
      <c r="D23" s="6">
        <f t="shared" si="13"/>
        <v>10.85</v>
      </c>
      <c r="E23" s="454">
        <f t="shared" si="0"/>
        <v>24.25</v>
      </c>
      <c r="F23" s="223">
        <f t="shared" si="1"/>
        <v>0.69088319088319083</v>
      </c>
      <c r="G23" s="178">
        <f t="shared" si="2"/>
        <v>5.1629269052706546</v>
      </c>
      <c r="H23" s="223">
        <f t="shared" si="3"/>
        <v>0.21512195438627726</v>
      </c>
      <c r="I23" s="454">
        <f t="shared" si="4"/>
        <v>35.1</v>
      </c>
      <c r="J23" s="178">
        <f t="shared" si="5"/>
        <v>0.74143989838247115</v>
      </c>
      <c r="K23" s="178">
        <f t="shared" si="6"/>
        <v>3.2117673017489534</v>
      </c>
      <c r="L23" s="178">
        <f t="shared" si="7"/>
        <v>1.4370175350093255</v>
      </c>
      <c r="M23" s="454">
        <f t="shared" si="14"/>
        <v>215.10997714777579</v>
      </c>
      <c r="N23" s="203">
        <f t="shared" si="8"/>
        <v>350</v>
      </c>
      <c r="O23" s="223">
        <f t="shared" si="9"/>
        <v>0.45568891313572157</v>
      </c>
      <c r="P23" s="179">
        <f t="shared" si="10"/>
        <v>0.88319088319088301</v>
      </c>
      <c r="Q23" s="179">
        <f t="shared" si="11"/>
        <v>7.0430551389210519E-2</v>
      </c>
      <c r="R23" s="179">
        <f t="shared" si="12"/>
        <v>0.56206185567010303</v>
      </c>
    </row>
    <row r="24" spans="3:18" x14ac:dyDescent="0.2">
      <c r="C24" s="176">
        <v>18</v>
      </c>
      <c r="D24" s="6">
        <f t="shared" si="13"/>
        <v>10.9</v>
      </c>
      <c r="E24" s="454">
        <f t="shared" si="0"/>
        <v>24.25</v>
      </c>
      <c r="F24" s="223">
        <f t="shared" si="1"/>
        <v>0.68990042674253205</v>
      </c>
      <c r="G24" s="178">
        <f t="shared" si="2"/>
        <v>5.1793412162162165</v>
      </c>
      <c r="H24" s="223">
        <f t="shared" si="3"/>
        <v>0.21580588400900902</v>
      </c>
      <c r="I24" s="454">
        <f t="shared" si="4"/>
        <v>35.15</v>
      </c>
      <c r="J24" s="178">
        <f t="shared" si="5"/>
        <v>0.73909013525016543</v>
      </c>
      <c r="K24" s="178">
        <f t="shared" si="6"/>
        <v>3.1869024180511714</v>
      </c>
      <c r="L24" s="178">
        <f t="shared" si="7"/>
        <v>1.4324633549178463</v>
      </c>
      <c r="M24" s="454">
        <f t="shared" si="14"/>
        <v>216.47993450782039</v>
      </c>
      <c r="N24" s="203">
        <f t="shared" si="8"/>
        <v>350</v>
      </c>
      <c r="O24" s="223">
        <f t="shared" si="9"/>
        <v>0.45713766878380541</v>
      </c>
      <c r="P24" s="179">
        <f t="shared" si="10"/>
        <v>0.88599878073562266</v>
      </c>
      <c r="Q24" s="179">
        <f t="shared" si="11"/>
        <v>7.0879098004885885E-2</v>
      </c>
      <c r="R24" s="179">
        <f t="shared" si="12"/>
        <v>0.56206185567010303</v>
      </c>
    </row>
    <row r="25" spans="3:18" x14ac:dyDescent="0.2">
      <c r="C25" s="176">
        <v>19</v>
      </c>
      <c r="D25" s="6">
        <f t="shared" si="13"/>
        <v>10.95</v>
      </c>
      <c r="E25" s="454">
        <f t="shared" si="0"/>
        <v>24.25</v>
      </c>
      <c r="F25" s="223">
        <f t="shared" si="1"/>
        <v>0.68892045454545447</v>
      </c>
      <c r="G25" s="178">
        <f t="shared" si="2"/>
        <v>5.1957088955965887</v>
      </c>
      <c r="H25" s="223">
        <f t="shared" si="3"/>
        <v>0.21648787064985786</v>
      </c>
      <c r="I25" s="454">
        <f t="shared" si="4"/>
        <v>35.200000000000003</v>
      </c>
      <c r="J25" s="178">
        <f t="shared" si="5"/>
        <v>0.73676183114189964</v>
      </c>
      <c r="K25" s="178">
        <f t="shared" si="6"/>
        <v>3.1623567181433136</v>
      </c>
      <c r="L25" s="178">
        <f t="shared" si="7"/>
        <v>1.4279507655121353</v>
      </c>
      <c r="M25" s="454">
        <f t="shared" si="14"/>
        <v>217.85032997477094</v>
      </c>
      <c r="N25" s="203">
        <f t="shared" si="8"/>
        <v>350</v>
      </c>
      <c r="O25" s="223">
        <f t="shared" si="9"/>
        <v>0.45858230864879795</v>
      </c>
      <c r="P25" s="179">
        <f t="shared" si="10"/>
        <v>0.8887987012987012</v>
      </c>
      <c r="Q25" s="179">
        <f t="shared" si="11"/>
        <v>7.1327788063982059E-2</v>
      </c>
      <c r="R25" s="179">
        <f t="shared" si="12"/>
        <v>0.56206185567010303</v>
      </c>
    </row>
    <row r="26" spans="3:18" x14ac:dyDescent="0.2">
      <c r="C26" s="176">
        <v>20</v>
      </c>
      <c r="D26" s="6">
        <f t="shared" si="13"/>
        <v>11</v>
      </c>
      <c r="E26" s="454">
        <f t="shared" si="0"/>
        <v>24.25</v>
      </c>
      <c r="F26" s="223">
        <f t="shared" si="1"/>
        <v>0.68794326241134751</v>
      </c>
      <c r="G26" s="178">
        <f t="shared" si="2"/>
        <v>5.2120301418439707</v>
      </c>
      <c r="H26" s="223">
        <f t="shared" si="3"/>
        <v>0.21716792257683212</v>
      </c>
      <c r="I26" s="454">
        <f t="shared" si="4"/>
        <v>35.25</v>
      </c>
      <c r="J26" s="178">
        <f t="shared" si="5"/>
        <v>0.73445469343461756</v>
      </c>
      <c r="K26" s="178">
        <f t="shared" si="6"/>
        <v>3.1381245992206388</v>
      </c>
      <c r="L26" s="178">
        <f t="shared" si="7"/>
        <v>1.4234791996464753</v>
      </c>
      <c r="M26" s="454">
        <f t="shared" si="14"/>
        <v>219.2211432848141</v>
      </c>
      <c r="N26" s="203">
        <f t="shared" si="8"/>
        <v>350</v>
      </c>
      <c r="O26" s="223">
        <f t="shared" si="9"/>
        <v>0.4600228502446701</v>
      </c>
      <c r="P26" s="179">
        <f t="shared" si="10"/>
        <v>0.89159067882472143</v>
      </c>
      <c r="Q26" s="179">
        <f t="shared" si="11"/>
        <v>7.1776614931792493E-2</v>
      </c>
      <c r="R26" s="179">
        <f t="shared" si="12"/>
        <v>0.56206185567010303</v>
      </c>
    </row>
    <row r="27" spans="3:18" x14ac:dyDescent="0.2">
      <c r="C27" s="176">
        <v>21</v>
      </c>
      <c r="D27" s="6">
        <f t="shared" si="13"/>
        <v>11.05</v>
      </c>
      <c r="E27" s="454">
        <f t="shared" si="0"/>
        <v>24.25</v>
      </c>
      <c r="F27" s="223">
        <f t="shared" si="1"/>
        <v>0.68696883852691226</v>
      </c>
      <c r="G27" s="178">
        <f t="shared" si="2"/>
        <v>5.2283051522662891</v>
      </c>
      <c r="H27" s="223">
        <f t="shared" si="3"/>
        <v>0.21784604801109539</v>
      </c>
      <c r="I27" s="454">
        <f t="shared" si="4"/>
        <v>35.299999999999997</v>
      </c>
      <c r="J27" s="178">
        <f t="shared" si="5"/>
        <v>0.73216843480160954</v>
      </c>
      <c r="K27" s="178">
        <f t="shared" si="6"/>
        <v>3.1142005824140853</v>
      </c>
      <c r="L27" s="178">
        <f t="shared" si="7"/>
        <v>1.4190481004402327</v>
      </c>
      <c r="M27" s="454">
        <f t="shared" si="14"/>
        <v>220.5923543930441</v>
      </c>
      <c r="N27" s="203">
        <f t="shared" si="8"/>
        <v>350</v>
      </c>
      <c r="O27" s="223">
        <f t="shared" si="9"/>
        <v>0.46145931098616294</v>
      </c>
      <c r="P27" s="179">
        <f t="shared" si="10"/>
        <v>0.8943747470659652</v>
      </c>
      <c r="Q27" s="179">
        <f t="shared" si="11"/>
        <v>7.2225572045284708E-2</v>
      </c>
      <c r="R27" s="179">
        <f t="shared" si="12"/>
        <v>0.56206185567010303</v>
      </c>
    </row>
    <row r="28" spans="3:18" x14ac:dyDescent="0.2">
      <c r="C28" s="176">
        <v>22</v>
      </c>
      <c r="D28" s="6">
        <f t="shared" si="13"/>
        <v>11.1</v>
      </c>
      <c r="E28" s="454">
        <f t="shared" si="0"/>
        <v>24.25</v>
      </c>
      <c r="F28" s="223">
        <f t="shared" si="1"/>
        <v>0.68599717114568592</v>
      </c>
      <c r="G28" s="178">
        <f t="shared" si="2"/>
        <v>5.2445341230551614</v>
      </c>
      <c r="H28" s="223">
        <f t="shared" si="3"/>
        <v>0.21852225512729839</v>
      </c>
      <c r="I28" s="454">
        <f t="shared" si="4"/>
        <v>35.35</v>
      </c>
      <c r="J28" s="178">
        <f t="shared" si="5"/>
        <v>0.72990277309322349</v>
      </c>
      <c r="K28" s="178">
        <f t="shared" si="6"/>
        <v>3.0905793094938296</v>
      </c>
      <c r="L28" s="178">
        <f t="shared" si="7"/>
        <v>1.41465692104666</v>
      </c>
      <c r="M28" s="454">
        <f t="shared" si="14"/>
        <v>221.9639434711797</v>
      </c>
      <c r="N28" s="203">
        <f t="shared" si="8"/>
        <v>350</v>
      </c>
      <c r="O28" s="223">
        <f t="shared" si="9"/>
        <v>0.46289170818949027</v>
      </c>
      <c r="P28" s="179">
        <f t="shared" si="10"/>
        <v>0.89715093958375425</v>
      </c>
      <c r="Q28" s="179">
        <f t="shared" si="11"/>
        <v>7.2674652912352783E-2</v>
      </c>
      <c r="R28" s="179">
        <f t="shared" si="12"/>
        <v>0.56206185567010303</v>
      </c>
    </row>
    <row r="29" spans="3:18" x14ac:dyDescent="0.2">
      <c r="C29" s="176">
        <v>23</v>
      </c>
      <c r="D29" s="6">
        <f t="shared" si="13"/>
        <v>11.15</v>
      </c>
      <c r="E29" s="454">
        <f t="shared" si="0"/>
        <v>24.25</v>
      </c>
      <c r="F29" s="223">
        <f t="shared" si="1"/>
        <v>0.68502824858757061</v>
      </c>
      <c r="G29" s="178">
        <f t="shared" si="2"/>
        <v>5.2607172492937853</v>
      </c>
      <c r="H29" s="223">
        <f t="shared" si="3"/>
        <v>0.21919655205390773</v>
      </c>
      <c r="I29" s="454">
        <f t="shared" si="4"/>
        <v>35.4</v>
      </c>
      <c r="J29" s="178">
        <f t="shared" si="5"/>
        <v>0.72765743122078697</v>
      </c>
      <c r="K29" s="178">
        <f t="shared" si="6"/>
        <v>3.0672555396750658</v>
      </c>
      <c r="L29" s="178">
        <f t="shared" si="7"/>
        <v>1.4103051244279168</v>
      </c>
      <c r="M29" s="454">
        <f t="shared" si="14"/>
        <v>223.33589090530751</v>
      </c>
      <c r="N29" s="203">
        <f t="shared" si="8"/>
        <v>350</v>
      </c>
      <c r="O29" s="223">
        <f t="shared" si="9"/>
        <v>0.4643200590730342</v>
      </c>
      <c r="P29" s="179">
        <f t="shared" si="10"/>
        <v>0.89991928974979818</v>
      </c>
      <c r="Q29" s="179">
        <f t="shared" si="11"/>
        <v>7.3123851111078123E-2</v>
      </c>
      <c r="R29" s="179">
        <f t="shared" si="12"/>
        <v>0.56206185567010303</v>
      </c>
    </row>
    <row r="30" spans="3:18" x14ac:dyDescent="0.2">
      <c r="C30" s="176">
        <v>24</v>
      </c>
      <c r="D30" s="6">
        <f t="shared" si="13"/>
        <v>11.2</v>
      </c>
      <c r="E30" s="454">
        <f t="shared" si="0"/>
        <v>24.25</v>
      </c>
      <c r="F30" s="223">
        <f t="shared" si="1"/>
        <v>0.68406205923836383</v>
      </c>
      <c r="G30" s="178">
        <f t="shared" si="2"/>
        <v>5.2768547249647382</v>
      </c>
      <c r="H30" s="223">
        <f t="shared" si="3"/>
        <v>0.21986894687353076</v>
      </c>
      <c r="I30" s="454">
        <f t="shared" si="4"/>
        <v>35.450000000000003</v>
      </c>
      <c r="J30" s="178">
        <f t="shared" si="5"/>
        <v>0.72543213704364018</v>
      </c>
      <c r="K30" s="178">
        <f t="shared" si="6"/>
        <v>3.0442241465224185</v>
      </c>
      <c r="L30" s="178">
        <f t="shared" si="7"/>
        <v>1.4059921831361273</v>
      </c>
      <c r="M30" s="454">
        <f t="shared" si="14"/>
        <v>224.70817729364799</v>
      </c>
      <c r="N30" s="203">
        <f t="shared" si="8"/>
        <v>350</v>
      </c>
      <c r="O30" s="223">
        <f t="shared" si="9"/>
        <v>0.46574438075803493</v>
      </c>
      <c r="P30" s="179">
        <f t="shared" si="10"/>
        <v>0.90267983074753166</v>
      </c>
      <c r="Q30" s="179">
        <f t="shared" si="11"/>
        <v>7.3573160288998449E-2</v>
      </c>
      <c r="R30" s="179">
        <f t="shared" si="12"/>
        <v>0.56206185567010303</v>
      </c>
    </row>
    <row r="31" spans="3:18" x14ac:dyDescent="0.2">
      <c r="C31" s="176">
        <v>25</v>
      </c>
      <c r="D31" s="6">
        <f t="shared" si="13"/>
        <v>11.25</v>
      </c>
      <c r="E31" s="454">
        <f t="shared" si="0"/>
        <v>24.25</v>
      </c>
      <c r="F31" s="223">
        <f t="shared" si="1"/>
        <v>0.68309859154929575</v>
      </c>
      <c r="G31" s="178">
        <f t="shared" si="2"/>
        <v>5.2929467429577457</v>
      </c>
      <c r="H31" s="223">
        <f t="shared" si="3"/>
        <v>0.2205394476232394</v>
      </c>
      <c r="I31" s="454">
        <f t="shared" si="4"/>
        <v>35.5</v>
      </c>
      <c r="J31" s="178">
        <f t="shared" si="5"/>
        <v>0.72322662325917897</v>
      </c>
      <c r="K31" s="178">
        <f t="shared" si="6"/>
        <v>3.0214801149494588</v>
      </c>
      <c r="L31" s="178">
        <f t="shared" si="7"/>
        <v>1.4017175791002643</v>
      </c>
      <c r="M31" s="454">
        <f t="shared" si="14"/>
        <v>226.08078344434918</v>
      </c>
      <c r="N31" s="203">
        <f t="shared" si="8"/>
        <v>350</v>
      </c>
      <c r="O31" s="223">
        <f t="shared" si="9"/>
        <v>0.46716469026927521</v>
      </c>
      <c r="P31" s="179">
        <f t="shared" si="10"/>
        <v>0.90543259557344058</v>
      </c>
      <c r="Q31" s="179">
        <f t="shared" si="11"/>
        <v>7.4022574162385155E-2</v>
      </c>
      <c r="R31" s="179">
        <f t="shared" si="12"/>
        <v>0.56206185567010303</v>
      </c>
    </row>
    <row r="32" spans="3:18" x14ac:dyDescent="0.2">
      <c r="C32" s="176">
        <v>26</v>
      </c>
      <c r="D32" s="6">
        <f t="shared" si="13"/>
        <v>11.3</v>
      </c>
      <c r="E32" s="454">
        <f t="shared" si="0"/>
        <v>24.25</v>
      </c>
      <c r="F32" s="223">
        <f t="shared" si="1"/>
        <v>0.68213783403656825</v>
      </c>
      <c r="G32" s="178">
        <f t="shared" si="2"/>
        <v>5.3089934950773552</v>
      </c>
      <c r="H32" s="223">
        <f t="shared" si="3"/>
        <v>0.22120806229488979</v>
      </c>
      <c r="I32" s="454">
        <f t="shared" si="4"/>
        <v>35.549999999999997</v>
      </c>
      <c r="J32" s="178">
        <f t="shared" si="5"/>
        <v>0.72104062729581919</v>
      </c>
      <c r="K32" s="178">
        <f t="shared" si="6"/>
        <v>2.9990185383100441</v>
      </c>
      <c r="L32" s="178">
        <f t="shared" si="7"/>
        <v>1.3974808034187012</v>
      </c>
      <c r="M32" s="454">
        <f t="shared" si="14"/>
        <v>227.45369037330289</v>
      </c>
      <c r="N32" s="203">
        <f t="shared" si="8"/>
        <v>350</v>
      </c>
      <c r="O32" s="223">
        <f t="shared" si="9"/>
        <v>0.46858100453575813</v>
      </c>
      <c r="P32" s="179">
        <f t="shared" si="10"/>
        <v>0.90817761703837663</v>
      </c>
      <c r="Q32" s="179">
        <f t="shared" si="11"/>
        <v>7.4472086515528377E-2</v>
      </c>
      <c r="R32" s="179">
        <f t="shared" si="12"/>
        <v>0.56206185567010303</v>
      </c>
    </row>
    <row r="33" spans="3:18" x14ac:dyDescent="0.2">
      <c r="C33" s="176">
        <v>27</v>
      </c>
      <c r="D33" s="6">
        <f t="shared" si="13"/>
        <v>11.35</v>
      </c>
      <c r="E33" s="454">
        <f t="shared" si="0"/>
        <v>24.25</v>
      </c>
      <c r="F33" s="223">
        <f t="shared" si="1"/>
        <v>0.6811797752808989</v>
      </c>
      <c r="G33" s="178">
        <f t="shared" si="2"/>
        <v>5.3249951720505617</v>
      </c>
      <c r="H33" s="223">
        <f t="shared" si="3"/>
        <v>0.22187479883544006</v>
      </c>
      <c r="I33" s="454">
        <f t="shared" si="4"/>
        <v>35.6</v>
      </c>
      <c r="J33" s="178">
        <f t="shared" si="5"/>
        <v>0.71887389120878864</v>
      </c>
      <c r="K33" s="178">
        <f t="shared" si="6"/>
        <v>2.9768346155782437</v>
      </c>
      <c r="L33" s="178">
        <f t="shared" si="7"/>
        <v>1.3932813561572397</v>
      </c>
      <c r="M33" s="454">
        <f t="shared" si="14"/>
        <v>228.82687930198676</v>
      </c>
      <c r="N33" s="203">
        <f t="shared" si="8"/>
        <v>350</v>
      </c>
      <c r="O33" s="223">
        <f t="shared" si="9"/>
        <v>0.46999334039138002</v>
      </c>
      <c r="P33" s="179">
        <f t="shared" si="10"/>
        <v>0.91091492776886018</v>
      </c>
      <c r="Q33" s="179">
        <f t="shared" si="11"/>
        <v>7.4921691200030366E-2</v>
      </c>
      <c r="R33" s="179">
        <f t="shared" si="12"/>
        <v>0.56206185567010303</v>
      </c>
    </row>
    <row r="34" spans="3:18" x14ac:dyDescent="0.2">
      <c r="C34" s="176">
        <v>28</v>
      </c>
      <c r="D34" s="6">
        <f t="shared" si="13"/>
        <v>11.4</v>
      </c>
      <c r="E34" s="454">
        <f t="shared" si="0"/>
        <v>24.25</v>
      </c>
      <c r="F34" s="223">
        <f t="shared" si="1"/>
        <v>0.68022440392706873</v>
      </c>
      <c r="G34" s="178">
        <f t="shared" si="2"/>
        <v>5.3409519635343621</v>
      </c>
      <c r="H34" s="223">
        <f t="shared" si="3"/>
        <v>0.22253966514726509</v>
      </c>
      <c r="I34" s="454">
        <f t="shared" si="4"/>
        <v>35.65</v>
      </c>
      <c r="J34" s="178">
        <f t="shared" si="5"/>
        <v>0.71672616157866187</v>
      </c>
      <c r="K34" s="178">
        <f t="shared" si="6"/>
        <v>2.9549236486137809</v>
      </c>
      <c r="L34" s="178">
        <f t="shared" si="7"/>
        <v>1.3891187461524579</v>
      </c>
      <c r="M34" s="454">
        <f t="shared" si="14"/>
        <v>230.20033165532951</v>
      </c>
      <c r="N34" s="203">
        <f t="shared" si="8"/>
        <v>350</v>
      </c>
      <c r="O34" s="223">
        <f t="shared" si="9"/>
        <v>0.47140171457559787</v>
      </c>
      <c r="P34" s="179">
        <f t="shared" si="10"/>
        <v>0.91364456020837514</v>
      </c>
      <c r="Q34" s="179">
        <f t="shared" si="11"/>
        <v>7.5371382134106824E-2</v>
      </c>
      <c r="R34" s="179">
        <f t="shared" si="12"/>
        <v>0.56206185567010303</v>
      </c>
    </row>
    <row r="35" spans="3:18" x14ac:dyDescent="0.2">
      <c r="C35" s="176">
        <v>29</v>
      </c>
      <c r="D35" s="6">
        <f t="shared" si="13"/>
        <v>11.45</v>
      </c>
      <c r="E35" s="454">
        <f t="shared" si="0"/>
        <v>24.25</v>
      </c>
      <c r="F35" s="223">
        <f t="shared" si="1"/>
        <v>0.67927170868347331</v>
      </c>
      <c r="G35" s="178">
        <f t="shared" si="2"/>
        <v>5.3568640581232483</v>
      </c>
      <c r="H35" s="223">
        <f t="shared" si="3"/>
        <v>0.22320266908846867</v>
      </c>
      <c r="I35" s="454">
        <f t="shared" si="4"/>
        <v>35.700000000000003</v>
      </c>
      <c r="J35" s="178">
        <f t="shared" si="5"/>
        <v>0.71459718941255379</v>
      </c>
      <c r="K35" s="178">
        <f t="shared" si="6"/>
        <v>2.9332810395100459</v>
      </c>
      <c r="L35" s="178">
        <f t="shared" si="7"/>
        <v>1.3849924908202071</v>
      </c>
      <c r="M35" s="454">
        <f t="shared" si="14"/>
        <v>231.57402905960012</v>
      </c>
      <c r="N35" s="203">
        <f t="shared" si="8"/>
        <v>350</v>
      </c>
      <c r="O35" s="223">
        <f t="shared" si="9"/>
        <v>0.47280614373408941</v>
      </c>
      <c r="P35" s="179">
        <f t="shared" si="10"/>
        <v>0.91636654661864736</v>
      </c>
      <c r="Q35" s="179">
        <f t="shared" si="11"/>
        <v>7.5821153301895275E-2</v>
      </c>
      <c r="R35" s="179">
        <f t="shared" si="12"/>
        <v>0.56206185567010303</v>
      </c>
    </row>
    <row r="36" spans="3:18" x14ac:dyDescent="0.2">
      <c r="C36" s="176">
        <v>30</v>
      </c>
      <c r="D36" s="6">
        <f t="shared" si="13"/>
        <v>11.5</v>
      </c>
      <c r="E36" s="454">
        <f t="shared" si="0"/>
        <v>24.25</v>
      </c>
      <c r="F36" s="223">
        <f t="shared" si="1"/>
        <v>0.67832167832167833</v>
      </c>
      <c r="G36" s="178">
        <f t="shared" si="2"/>
        <v>5.3727316433566434</v>
      </c>
      <c r="H36" s="223">
        <f t="shared" si="3"/>
        <v>0.22386381847319348</v>
      </c>
      <c r="I36" s="454">
        <f t="shared" si="4"/>
        <v>35.75</v>
      </c>
      <c r="J36" s="178">
        <f t="shared" si="5"/>
        <v>0.71248673004788987</v>
      </c>
      <c r="K36" s="178">
        <f t="shared" si="6"/>
        <v>2.9119022880218104</v>
      </c>
      <c r="L36" s="178">
        <f t="shared" si="7"/>
        <v>1.3809021159691059</v>
      </c>
      <c r="M36" s="454">
        <f t="shared" si="14"/>
        <v>232.94795334032088</v>
      </c>
      <c r="N36" s="203">
        <f t="shared" si="8"/>
        <v>350</v>
      </c>
      <c r="O36" s="223">
        <f t="shared" si="9"/>
        <v>0.47420664441941041</v>
      </c>
      <c r="P36" s="179">
        <f t="shared" si="10"/>
        <v>0.91908091908091905</v>
      </c>
      <c r="Q36" s="179">
        <f t="shared" si="11"/>
        <v>7.6270998752772295E-2</v>
      </c>
      <c r="R36" s="179">
        <f t="shared" si="12"/>
        <v>0.56206185567010303</v>
      </c>
    </row>
    <row r="37" spans="3:18" x14ac:dyDescent="0.2">
      <c r="C37" s="176">
        <v>31</v>
      </c>
      <c r="D37" s="6">
        <f t="shared" si="13"/>
        <v>11.55</v>
      </c>
      <c r="E37" s="454">
        <f t="shared" si="0"/>
        <v>24.25</v>
      </c>
      <c r="F37" s="223">
        <f t="shared" si="1"/>
        <v>0.67737430167597767</v>
      </c>
      <c r="G37" s="178">
        <f t="shared" si="2"/>
        <v>5.3885549057262567</v>
      </c>
      <c r="H37" s="223">
        <f t="shared" si="3"/>
        <v>0.22452312107192737</v>
      </c>
      <c r="I37" s="454">
        <f t="shared" si="4"/>
        <v>35.799999999999997</v>
      </c>
      <c r="J37" s="178">
        <f t="shared" si="5"/>
        <v>0.71039454305867755</v>
      </c>
      <c r="K37" s="178">
        <f t="shared" si="6"/>
        <v>2.890782989069943</v>
      </c>
      <c r="L37" s="178">
        <f t="shared" si="7"/>
        <v>1.3768471556188802</v>
      </c>
      <c r="M37" s="454">
        <f t="shared" si="14"/>
        <v>234.32208652020279</v>
      </c>
      <c r="N37" s="203">
        <f t="shared" si="8"/>
        <v>350</v>
      </c>
      <c r="O37" s="223">
        <f t="shared" si="9"/>
        <v>0.47560323309164393</v>
      </c>
      <c r="P37" s="179">
        <f t="shared" si="10"/>
        <v>0.92178770949720679</v>
      </c>
      <c r="Q37" s="179">
        <f t="shared" si="11"/>
        <v>7.6720912600677191E-2</v>
      </c>
      <c r="R37" s="179">
        <f t="shared" si="12"/>
        <v>0.56206185567010303</v>
      </c>
    </row>
    <row r="38" spans="3:18" x14ac:dyDescent="0.2">
      <c r="C38" s="176">
        <v>32</v>
      </c>
      <c r="D38" s="6">
        <f t="shared" si="13"/>
        <v>11.6</v>
      </c>
      <c r="E38" s="454">
        <f t="shared" ref="E38:E69" si="15">(Vout+Vfwd1)*Nps</f>
        <v>24.25</v>
      </c>
      <c r="F38" s="223">
        <f t="shared" ref="F38:F69" si="16">(Vout+Vfwd1)*Nps/((Vout+Vfwd1)*Nps+D38)</f>
        <v>0.6764295676429567</v>
      </c>
      <c r="G38" s="178">
        <f t="shared" ref="G38:G69" si="17">F38*D38*Isw_max*0.5*Efficiency</f>
        <v>5.404334030683402</v>
      </c>
      <c r="H38" s="223">
        <f t="shared" ref="H38:H69" si="18">G38/Vout</f>
        <v>0.22518058461180843</v>
      </c>
      <c r="I38" s="454">
        <f t="shared" ref="I38:I69" si="19">(Vout+Vfwd1)*Nps+D38</f>
        <v>35.85</v>
      </c>
      <c r="J38" s="178">
        <f t="shared" ref="J38:J69" si="20">MIN(2*Vout*Iout/(Efficiency*D38*F38), 1.35)</f>
        <v>0.70832039216420017</v>
      </c>
      <c r="K38" s="178">
        <f t="shared" ref="K38:K69" si="21">L*J38/D38*1000000</f>
        <v>2.8699188303204664</v>
      </c>
      <c r="L38" s="178">
        <f t="shared" ref="L38:L69" si="22">L*J38/((Vout+Vfwd1)*Nps)*1000000</f>
        <v>1.3728271518233983</v>
      </c>
      <c r="M38" s="454">
        <f t="shared" si="14"/>
        <v>235.69641081710458</v>
      </c>
      <c r="N38" s="203">
        <f t="shared" ref="N38:N69" si="23">IF(1/((350000*L)*(1/D38+1/E38))&gt;Isw_min, 350, 0.001/((Isw_min*L)*(1/D38+1/E38)))</f>
        <v>350</v>
      </c>
      <c r="O38" s="223">
        <f t="shared" ref="O38:O69" si="24">1/((N38*1000*L)*(1/D38+1/E38))</f>
        <v>0.47699592611904551</v>
      </c>
      <c r="P38" s="179">
        <f t="shared" ref="P38:P69" si="25">L*O38/E38*1000000</f>
        <v>0.92448694959155198</v>
      </c>
      <c r="Q38" s="179">
        <f t="shared" ref="Q38:Q69" si="26">0.5*P38*O38*Nps*N38/1000</f>
        <v>7.7170889023443892E-2</v>
      </c>
      <c r="R38" s="179">
        <f t="shared" ref="R38:R69" si="27">L*Isw_min/E38*1000000</f>
        <v>0.56206185567010303</v>
      </c>
    </row>
    <row r="39" spans="3:18" x14ac:dyDescent="0.2">
      <c r="C39" s="176">
        <v>33</v>
      </c>
      <c r="D39" s="6">
        <f t="shared" ref="D39:D70" si="28">C39/100*(VIN_max-VIN_min)+VIN_min</f>
        <v>11.65</v>
      </c>
      <c r="E39" s="454">
        <f t="shared" si="15"/>
        <v>24.25</v>
      </c>
      <c r="F39" s="223">
        <f t="shared" si="16"/>
        <v>0.67548746518105851</v>
      </c>
      <c r="G39" s="178">
        <f t="shared" si="17"/>
        <v>5.4200692026462391</v>
      </c>
      <c r="H39" s="223">
        <f t="shared" si="18"/>
        <v>0.22583621677692664</v>
      </c>
      <c r="I39" s="454">
        <f t="shared" si="19"/>
        <v>35.9</v>
      </c>
      <c r="J39" s="178">
        <f t="shared" si="20"/>
        <v>0.70626404514006147</v>
      </c>
      <c r="K39" s="178">
        <f t="shared" si="21"/>
        <v>2.8493055898354411</v>
      </c>
      <c r="L39" s="178">
        <f t="shared" si="22"/>
        <v>1.3688416544982633</v>
      </c>
      <c r="M39" s="454">
        <f t="shared" si="14"/>
        <v>237.0709086420143</v>
      </c>
      <c r="N39" s="203">
        <f t="shared" si="23"/>
        <v>350</v>
      </c>
      <c r="O39" s="223">
        <f t="shared" si="24"/>
        <v>0.47838473977868273</v>
      </c>
      <c r="P39" s="179">
        <f t="shared" si="25"/>
        <v>0.92717867091126138</v>
      </c>
      <c r="Q39" s="179">
        <f t="shared" si="26"/>
        <v>7.7620922262140027E-2</v>
      </c>
      <c r="R39" s="179">
        <f t="shared" si="27"/>
        <v>0.56206185567010303</v>
      </c>
    </row>
    <row r="40" spans="3:18" x14ac:dyDescent="0.2">
      <c r="C40" s="176">
        <v>34</v>
      </c>
      <c r="D40" s="6">
        <f t="shared" si="28"/>
        <v>11.7</v>
      </c>
      <c r="E40" s="454">
        <f t="shared" si="15"/>
        <v>24.25</v>
      </c>
      <c r="F40" s="223">
        <f t="shared" si="16"/>
        <v>0.67454798331015298</v>
      </c>
      <c r="G40" s="178">
        <f t="shared" si="17"/>
        <v>5.4357606050069531</v>
      </c>
      <c r="H40" s="223">
        <f t="shared" si="18"/>
        <v>0.22649002520862305</v>
      </c>
      <c r="I40" s="454">
        <f t="shared" si="19"/>
        <v>35.950000000000003</v>
      </c>
      <c r="J40" s="178">
        <f t="shared" si="20"/>
        <v>0.70422527373151367</v>
      </c>
      <c r="K40" s="178">
        <f t="shared" si="21"/>
        <v>2.8289391337932597</v>
      </c>
      <c r="L40" s="178">
        <f t="shared" si="22"/>
        <v>1.3648902212528304</v>
      </c>
      <c r="M40" s="454">
        <f t="shared" si="14"/>
        <v>238.44556259705277</v>
      </c>
      <c r="N40" s="203">
        <f t="shared" si="23"/>
        <v>350</v>
      </c>
      <c r="O40" s="223">
        <f t="shared" si="24"/>
        <v>0.47976969025706939</v>
      </c>
      <c r="P40" s="179">
        <f t="shared" si="25"/>
        <v>0.92986290482813438</v>
      </c>
      <c r="Q40" s="179">
        <f t="shared" si="26"/>
        <v>7.8071006620413247E-2</v>
      </c>
      <c r="R40" s="179">
        <f t="shared" si="27"/>
        <v>0.56206185567010303</v>
      </c>
    </row>
    <row r="41" spans="3:18" x14ac:dyDescent="0.2">
      <c r="C41" s="176">
        <v>35</v>
      </c>
      <c r="D41" s="6">
        <f t="shared" si="28"/>
        <v>11.75</v>
      </c>
      <c r="E41" s="454">
        <f t="shared" si="15"/>
        <v>24.25</v>
      </c>
      <c r="F41" s="223">
        <f t="shared" si="16"/>
        <v>0.67361111111111116</v>
      </c>
      <c r="G41" s="178">
        <f t="shared" si="17"/>
        <v>5.4514084201388888</v>
      </c>
      <c r="H41" s="223">
        <f t="shared" si="18"/>
        <v>0.22714201750578702</v>
      </c>
      <c r="I41" s="454">
        <f t="shared" si="19"/>
        <v>36</v>
      </c>
      <c r="J41" s="178">
        <f t="shared" si="20"/>
        <v>0.70220385356899595</v>
      </c>
      <c r="K41" s="178">
        <f t="shared" si="21"/>
        <v>2.8088154142759834</v>
      </c>
      <c r="L41" s="178">
        <f t="shared" si="22"/>
        <v>1.3609724172265076</v>
      </c>
      <c r="M41" s="454">
        <f t="shared" si="14"/>
        <v>239.82035547349946</v>
      </c>
      <c r="N41" s="203">
        <f t="shared" si="23"/>
        <v>350</v>
      </c>
      <c r="O41" s="223">
        <f t="shared" si="24"/>
        <v>0.48115079365079361</v>
      </c>
      <c r="P41" s="179">
        <f t="shared" si="25"/>
        <v>0.93253968253968245</v>
      </c>
      <c r="Q41" s="179">
        <f t="shared" si="26"/>
        <v>7.8521136463844787E-2</v>
      </c>
      <c r="R41" s="179">
        <f t="shared" si="27"/>
        <v>0.56206185567010303</v>
      </c>
    </row>
    <row r="42" spans="3:18" x14ac:dyDescent="0.2">
      <c r="C42" s="176">
        <v>36</v>
      </c>
      <c r="D42" s="6">
        <f t="shared" si="28"/>
        <v>11.8</v>
      </c>
      <c r="E42" s="454">
        <f t="shared" si="15"/>
        <v>24.25</v>
      </c>
      <c r="F42" s="223">
        <f t="shared" si="16"/>
        <v>0.67267683772538145</v>
      </c>
      <c r="G42" s="178">
        <f t="shared" si="17"/>
        <v>5.4670128294036067</v>
      </c>
      <c r="H42" s="223">
        <f t="shared" si="18"/>
        <v>0.22779220122515029</v>
      </c>
      <c r="I42" s="454">
        <f t="shared" si="19"/>
        <v>36.049999999999997</v>
      </c>
      <c r="J42" s="178">
        <f t="shared" si="20"/>
        <v>0.70019956408582174</v>
      </c>
      <c r="K42" s="178">
        <f t="shared" si="21"/>
        <v>2.7889304671214932</v>
      </c>
      <c r="L42" s="178">
        <f t="shared" si="22"/>
        <v>1.3570878149292216</v>
      </c>
      <c r="M42" s="454">
        <f t="shared" si="14"/>
        <v>241.19527024984012</v>
      </c>
      <c r="N42" s="203">
        <f t="shared" si="23"/>
        <v>350</v>
      </c>
      <c r="O42" s="223">
        <f t="shared" si="24"/>
        <v>0.48252806596714293</v>
      </c>
      <c r="P42" s="179">
        <f t="shared" si="25"/>
        <v>0.93520903507033881</v>
      </c>
      <c r="Q42" s="179">
        <f t="shared" si="26"/>
        <v>7.8971306219310491E-2</v>
      </c>
      <c r="R42" s="179">
        <f t="shared" si="27"/>
        <v>0.56206185567010303</v>
      </c>
    </row>
    <row r="43" spans="3:18" x14ac:dyDescent="0.2">
      <c r="C43" s="176">
        <v>37</v>
      </c>
      <c r="D43" s="6">
        <f t="shared" si="28"/>
        <v>11.85</v>
      </c>
      <c r="E43" s="454">
        <f t="shared" si="15"/>
        <v>24.25</v>
      </c>
      <c r="F43" s="223">
        <f t="shared" si="16"/>
        <v>0.67174515235457066</v>
      </c>
      <c r="G43" s="178">
        <f t="shared" si="17"/>
        <v>5.4825740131578939</v>
      </c>
      <c r="H43" s="223">
        <f t="shared" si="18"/>
        <v>0.22844058388157892</v>
      </c>
      <c r="I43" s="454">
        <f t="shared" si="19"/>
        <v>36.1</v>
      </c>
      <c r="J43" s="178">
        <f t="shared" si="20"/>
        <v>0.69821218843794863</v>
      </c>
      <c r="K43" s="178">
        <f t="shared" si="21"/>
        <v>2.7692804098382773</v>
      </c>
      <c r="L43" s="178">
        <f t="shared" si="22"/>
        <v>1.3532359940859211</v>
      </c>
      <c r="M43" s="454">
        <f t="shared" si="14"/>
        <v>242.57029008983594</v>
      </c>
      <c r="N43" s="203">
        <f t="shared" si="23"/>
        <v>350</v>
      </c>
      <c r="O43" s="223">
        <f t="shared" si="24"/>
        <v>0.48390152312472123</v>
      </c>
      <c r="P43" s="179">
        <f t="shared" si="25"/>
        <v>0.93787099327265555</v>
      </c>
      <c r="Q43" s="179">
        <f t="shared" si="26"/>
        <v>7.9421510374348317E-2</v>
      </c>
      <c r="R43" s="179">
        <f t="shared" si="27"/>
        <v>0.56206185567010303</v>
      </c>
    </row>
    <row r="44" spans="3:18" x14ac:dyDescent="0.2">
      <c r="C44" s="176">
        <v>38</v>
      </c>
      <c r="D44" s="6">
        <f t="shared" si="28"/>
        <v>11.9</v>
      </c>
      <c r="E44" s="454">
        <f t="shared" si="15"/>
        <v>24.25</v>
      </c>
      <c r="F44" s="223">
        <f t="shared" si="16"/>
        <v>0.67081604426002772</v>
      </c>
      <c r="G44" s="178">
        <f t="shared" si="17"/>
        <v>5.4980921507607192</v>
      </c>
      <c r="H44" s="223">
        <f t="shared" si="18"/>
        <v>0.22908717294836331</v>
      </c>
      <c r="I44" s="454">
        <f t="shared" si="19"/>
        <v>36.15</v>
      </c>
      <c r="J44" s="178">
        <f t="shared" si="20"/>
        <v>0.6962415134257719</v>
      </c>
      <c r="K44" s="178">
        <f t="shared" si="21"/>
        <v>2.7498614395807794</v>
      </c>
      <c r="L44" s="178">
        <f t="shared" si="22"/>
        <v>1.349416541485001</v>
      </c>
      <c r="M44" s="454">
        <f t="shared" si="14"/>
        <v>243.94539834061408</v>
      </c>
      <c r="N44" s="203">
        <f t="shared" si="23"/>
        <v>350</v>
      </c>
      <c r="O44" s="223">
        <f t="shared" si="24"/>
        <v>0.48527118095406263</v>
      </c>
      <c r="P44" s="179">
        <f t="shared" si="25"/>
        <v>0.94052558782849249</v>
      </c>
      <c r="Q44" s="179">
        <f t="shared" si="26"/>
        <v>7.9871743476533141E-2</v>
      </c>
      <c r="R44" s="179">
        <f t="shared" si="27"/>
        <v>0.56206185567010303</v>
      </c>
    </row>
    <row r="45" spans="3:18" x14ac:dyDescent="0.2">
      <c r="C45" s="176">
        <v>39</v>
      </c>
      <c r="D45" s="6">
        <f t="shared" si="28"/>
        <v>11.95</v>
      </c>
      <c r="E45" s="454">
        <f t="shared" si="15"/>
        <v>24.25</v>
      </c>
      <c r="F45" s="223">
        <f t="shared" si="16"/>
        <v>0.66988950276243087</v>
      </c>
      <c r="G45" s="178">
        <f t="shared" si="17"/>
        <v>5.5135674205801095</v>
      </c>
      <c r="H45" s="223">
        <f t="shared" si="18"/>
        <v>0.22973197585750457</v>
      </c>
      <c r="I45" s="454">
        <f t="shared" si="19"/>
        <v>36.200000000000003</v>
      </c>
      <c r="J45" s="178">
        <f t="shared" si="20"/>
        <v>0.69428732941788129</v>
      </c>
      <c r="K45" s="178">
        <f t="shared" si="21"/>
        <v>2.7306698311832993</v>
      </c>
      <c r="L45" s="178">
        <f t="shared" si="22"/>
        <v>1.3456290508305329</v>
      </c>
      <c r="M45" s="454">
        <f t="shared" si="14"/>
        <v>245.32057853077876</v>
      </c>
      <c r="N45" s="203">
        <f t="shared" si="23"/>
        <v>350</v>
      </c>
      <c r="O45" s="223">
        <f t="shared" si="24"/>
        <v>0.48663705519824008</v>
      </c>
      <c r="P45" s="179">
        <f t="shared" si="25"/>
        <v>0.94317284925019729</v>
      </c>
      <c r="Q45" s="179">
        <f t="shared" si="26"/>
        <v>8.0322000132858687E-2</v>
      </c>
      <c r="R45" s="179">
        <f t="shared" si="27"/>
        <v>0.56206185567010303</v>
      </c>
    </row>
    <row r="46" spans="3:18" x14ac:dyDescent="0.2">
      <c r="C46" s="176">
        <v>40</v>
      </c>
      <c r="D46" s="6">
        <f t="shared" si="28"/>
        <v>12</v>
      </c>
      <c r="E46" s="454">
        <f t="shared" si="15"/>
        <v>24.25</v>
      </c>
      <c r="F46" s="223">
        <f t="shared" si="16"/>
        <v>0.66896551724137931</v>
      </c>
      <c r="G46" s="178">
        <f t="shared" si="17"/>
        <v>5.528999999999999</v>
      </c>
      <c r="H46" s="223">
        <f t="shared" si="18"/>
        <v>0.23037499999999997</v>
      </c>
      <c r="I46" s="454">
        <f t="shared" si="19"/>
        <v>36.25</v>
      </c>
      <c r="J46" s="178">
        <f t="shared" si="20"/>
        <v>0.6923494302767228</v>
      </c>
      <c r="K46" s="178">
        <f t="shared" si="21"/>
        <v>2.7117019352504976</v>
      </c>
      <c r="L46" s="178">
        <f t="shared" si="22"/>
        <v>1.3418731225981844</v>
      </c>
      <c r="M46" s="454">
        <f t="shared" si="14"/>
        <v>246.6958143685444</v>
      </c>
      <c r="N46" s="203">
        <f t="shared" si="23"/>
        <v>350</v>
      </c>
      <c r="O46" s="223">
        <f t="shared" si="24"/>
        <v>0.48799916151346817</v>
      </c>
      <c r="P46" s="179">
        <f t="shared" si="25"/>
        <v>0.94581280788177335</v>
      </c>
      <c r="Q46" s="179">
        <f t="shared" si="26"/>
        <v>8.077227500912576E-2</v>
      </c>
      <c r="R46" s="179">
        <f t="shared" si="27"/>
        <v>0.56206185567010303</v>
      </c>
    </row>
    <row r="47" spans="3:18" x14ac:dyDescent="0.2">
      <c r="C47" s="176">
        <v>41</v>
      </c>
      <c r="D47" s="6">
        <f t="shared" si="28"/>
        <v>12.05</v>
      </c>
      <c r="E47" s="454">
        <f t="shared" si="15"/>
        <v>24.25</v>
      </c>
      <c r="F47" s="223">
        <f t="shared" si="16"/>
        <v>0.66804407713498626</v>
      </c>
      <c r="G47" s="178">
        <f t="shared" si="17"/>
        <v>5.544390065426998</v>
      </c>
      <c r="H47" s="223">
        <f t="shared" si="18"/>
        <v>0.23101625272612492</v>
      </c>
      <c r="I47" s="454">
        <f t="shared" si="19"/>
        <v>36.299999999999997</v>
      </c>
      <c r="J47" s="178">
        <f t="shared" si="20"/>
        <v>0.69042761328611346</v>
      </c>
      <c r="K47" s="178">
        <f t="shared" si="21"/>
        <v>2.6929541763026825</v>
      </c>
      <c r="L47" s="178">
        <f t="shared" si="22"/>
        <v>1.3381483638947353</v>
      </c>
      <c r="M47" s="454">
        <f t="shared" si="14"/>
        <v>248.07108973988696</v>
      </c>
      <c r="N47" s="203">
        <f t="shared" si="23"/>
        <v>350</v>
      </c>
      <c r="O47" s="223">
        <f t="shared" si="24"/>
        <v>0.48935751546970119</v>
      </c>
      <c r="P47" s="179">
        <f t="shared" si="25"/>
        <v>0.9484454939000394</v>
      </c>
      <c r="Q47" s="179">
        <f t="shared" si="26"/>
        <v>8.1222562829337458E-2</v>
      </c>
      <c r="R47" s="179">
        <f t="shared" si="27"/>
        <v>0.56206185567010303</v>
      </c>
    </row>
    <row r="48" spans="3:18" x14ac:dyDescent="0.2">
      <c r="C48" s="176">
        <v>42</v>
      </c>
      <c r="D48" s="6">
        <f t="shared" si="28"/>
        <v>12.1</v>
      </c>
      <c r="E48" s="454">
        <f t="shared" si="15"/>
        <v>24.25</v>
      </c>
      <c r="F48" s="223">
        <f t="shared" si="16"/>
        <v>0.66712517193947729</v>
      </c>
      <c r="G48" s="178">
        <f t="shared" si="17"/>
        <v>5.5597377922971107</v>
      </c>
      <c r="H48" s="223">
        <f t="shared" si="18"/>
        <v>0.23165574134571296</v>
      </c>
      <c r="I48" s="454">
        <f t="shared" si="19"/>
        <v>36.35</v>
      </c>
      <c r="J48" s="178">
        <f t="shared" si="20"/>
        <v>0.68852167908055051</v>
      </c>
      <c r="K48" s="178">
        <f t="shared" si="21"/>
        <v>2.6744230509740388</v>
      </c>
      <c r="L48" s="178">
        <f t="shared" si="22"/>
        <v>1.3344543883210669</v>
      </c>
      <c r="M48" s="454">
        <f t="shared" si="14"/>
        <v>249.44638870671824</v>
      </c>
      <c r="N48" s="203">
        <f t="shared" si="23"/>
        <v>350</v>
      </c>
      <c r="O48" s="223">
        <f t="shared" si="24"/>
        <v>0.49071213255122659</v>
      </c>
      <c r="P48" s="179">
        <f t="shared" si="25"/>
        <v>0.9510709373157793</v>
      </c>
      <c r="Q48" s="179">
        <f t="shared" si="26"/>
        <v>8.1672858375101007E-2</v>
      </c>
      <c r="R48" s="179">
        <f t="shared" si="27"/>
        <v>0.56206185567010303</v>
      </c>
    </row>
    <row r="49" spans="3:18" x14ac:dyDescent="0.2">
      <c r="C49" s="176">
        <v>43</v>
      </c>
      <c r="D49" s="6">
        <f t="shared" si="28"/>
        <v>12.15</v>
      </c>
      <c r="E49" s="454">
        <f t="shared" si="15"/>
        <v>24.25</v>
      </c>
      <c r="F49" s="223">
        <f t="shared" si="16"/>
        <v>0.66620879120879128</v>
      </c>
      <c r="G49" s="178">
        <f t="shared" si="17"/>
        <v>5.5750433550824177</v>
      </c>
      <c r="H49" s="223">
        <f t="shared" si="18"/>
        <v>0.23229347312843407</v>
      </c>
      <c r="I49" s="454">
        <f t="shared" si="19"/>
        <v>36.4</v>
      </c>
      <c r="J49" s="178">
        <f t="shared" si="20"/>
        <v>0.68663143157626783</v>
      </c>
      <c r="K49" s="178">
        <f t="shared" si="21"/>
        <v>2.6561051262621058</v>
      </c>
      <c r="L49" s="178">
        <f t="shared" si="22"/>
        <v>1.3307908158385395</v>
      </c>
      <c r="M49" s="454">
        <f t="shared" si="14"/>
        <v>250.82169550507822</v>
      </c>
      <c r="N49" s="203">
        <f t="shared" si="23"/>
        <v>350</v>
      </c>
      <c r="O49" s="223">
        <f t="shared" si="24"/>
        <v>0.49206302815725306</v>
      </c>
      <c r="P49" s="179">
        <f t="shared" si="25"/>
        <v>0.95368916797488201</v>
      </c>
      <c r="Q49" s="179">
        <f t="shared" si="26"/>
        <v>8.2123156485036028E-2</v>
      </c>
      <c r="R49" s="179">
        <f t="shared" si="27"/>
        <v>0.56206185567010303</v>
      </c>
    </row>
    <row r="50" spans="3:18" x14ac:dyDescent="0.2">
      <c r="C50" s="176">
        <v>44</v>
      </c>
      <c r="D50" s="6">
        <f t="shared" si="28"/>
        <v>12.2</v>
      </c>
      <c r="E50" s="454">
        <f t="shared" si="15"/>
        <v>24.25</v>
      </c>
      <c r="F50" s="223">
        <f t="shared" si="16"/>
        <v>0.66529492455418371</v>
      </c>
      <c r="G50" s="178">
        <f t="shared" si="17"/>
        <v>5.5903069272976662</v>
      </c>
      <c r="H50" s="223">
        <f t="shared" si="18"/>
        <v>0.23292945530406942</v>
      </c>
      <c r="I50" s="454">
        <f t="shared" si="19"/>
        <v>36.450000000000003</v>
      </c>
      <c r="J50" s="178">
        <f t="shared" si="20"/>
        <v>0.68475667790398786</v>
      </c>
      <c r="K50" s="178">
        <f t="shared" si="21"/>
        <v>2.6379970378268385</v>
      </c>
      <c r="L50" s="178">
        <f t="shared" si="22"/>
        <v>1.3271572726386569</v>
      </c>
      <c r="M50" s="454">
        <f t="shared" si="14"/>
        <v>252.19699454334821</v>
      </c>
      <c r="N50" s="203">
        <f t="shared" si="23"/>
        <v>350</v>
      </c>
      <c r="O50" s="223">
        <f t="shared" si="24"/>
        <v>0.49341021760249498</v>
      </c>
      <c r="P50" s="179">
        <f t="shared" si="25"/>
        <v>0.95630021555947464</v>
      </c>
      <c r="Q50" s="179">
        <f t="shared" si="26"/>
        <v>8.2573452054189811E-2</v>
      </c>
      <c r="R50" s="179">
        <f t="shared" si="27"/>
        <v>0.56206185567010303</v>
      </c>
    </row>
    <row r="51" spans="3:18" x14ac:dyDescent="0.2">
      <c r="C51" s="176">
        <v>45</v>
      </c>
      <c r="D51" s="6">
        <f t="shared" si="28"/>
        <v>12.25</v>
      </c>
      <c r="E51" s="454">
        <f t="shared" si="15"/>
        <v>24.25</v>
      </c>
      <c r="F51" s="223">
        <f t="shared" si="16"/>
        <v>0.66438356164383561</v>
      </c>
      <c r="G51" s="178">
        <f t="shared" si="17"/>
        <v>5.6055286815068488</v>
      </c>
      <c r="H51" s="223">
        <f t="shared" si="18"/>
        <v>0.23356369506278538</v>
      </c>
      <c r="I51" s="454">
        <f t="shared" si="19"/>
        <v>36.5</v>
      </c>
      <c r="J51" s="178">
        <f t="shared" si="20"/>
        <v>0.6828972283433179</v>
      </c>
      <c r="K51" s="178">
        <f t="shared" si="21"/>
        <v>2.6200954883376277</v>
      </c>
      <c r="L51" s="178">
        <f t="shared" si="22"/>
        <v>1.323553391015915</v>
      </c>
      <c r="M51" s="454">
        <f t="shared" si="14"/>
        <v>253.57227040048346</v>
      </c>
      <c r="N51" s="203">
        <f t="shared" si="23"/>
        <v>350</v>
      </c>
      <c r="O51" s="223">
        <f t="shared" si="24"/>
        <v>0.49475371611774993</v>
      </c>
      <c r="P51" s="179">
        <f t="shared" si="25"/>
        <v>0.95890410958904093</v>
      </c>
      <c r="Q51" s="179">
        <f t="shared" si="26"/>
        <v>8.3023740033458027E-2</v>
      </c>
      <c r="R51" s="179">
        <f t="shared" si="27"/>
        <v>0.56206185567010303</v>
      </c>
    </row>
    <row r="52" spans="3:18" x14ac:dyDescent="0.2">
      <c r="C52" s="176">
        <v>46</v>
      </c>
      <c r="D52" s="6">
        <f t="shared" si="28"/>
        <v>12.3</v>
      </c>
      <c r="E52" s="454">
        <f t="shared" si="15"/>
        <v>24.25</v>
      </c>
      <c r="F52" s="223">
        <f t="shared" si="16"/>
        <v>0.66347469220246247</v>
      </c>
      <c r="G52" s="178">
        <f t="shared" si="17"/>
        <v>5.6207087893296857</v>
      </c>
      <c r="H52" s="223">
        <f t="shared" si="18"/>
        <v>0.23419619955540358</v>
      </c>
      <c r="I52" s="454">
        <f t="shared" si="19"/>
        <v>36.549999999999997</v>
      </c>
      <c r="J52" s="178">
        <f t="shared" si="20"/>
        <v>0.68105289625875087</v>
      </c>
      <c r="K52" s="178">
        <f t="shared" si="21"/>
        <v>2.6023972458667712</v>
      </c>
      <c r="L52" s="178">
        <f t="shared" si="22"/>
        <v>1.3199788092437643</v>
      </c>
      <c r="M52" s="454">
        <f t="shared" si="14"/>
        <v>254.94750782426422</v>
      </c>
      <c r="N52" s="203">
        <f t="shared" si="23"/>
        <v>350</v>
      </c>
      <c r="O52" s="223">
        <f t="shared" si="24"/>
        <v>0.49609353885047341</v>
      </c>
      <c r="P52" s="179">
        <f t="shared" si="25"/>
        <v>0.96150087942153606</v>
      </c>
      <c r="Q52" s="179">
        <f t="shared" si="26"/>
        <v>8.347401542901263E-2</v>
      </c>
      <c r="R52" s="179">
        <f t="shared" si="27"/>
        <v>0.56206185567010303</v>
      </c>
    </row>
    <row r="53" spans="3:18" x14ac:dyDescent="0.2">
      <c r="C53" s="176">
        <v>47</v>
      </c>
      <c r="D53" s="6">
        <f t="shared" si="28"/>
        <v>12.35</v>
      </c>
      <c r="E53" s="454">
        <f t="shared" si="15"/>
        <v>24.25</v>
      </c>
      <c r="F53" s="223">
        <f t="shared" si="16"/>
        <v>0.66256830601092898</v>
      </c>
      <c r="G53" s="178">
        <f t="shared" si="17"/>
        <v>5.6358474214480863</v>
      </c>
      <c r="H53" s="223">
        <f t="shared" si="18"/>
        <v>0.23482697589367027</v>
      </c>
      <c r="I53" s="454">
        <f t="shared" si="19"/>
        <v>36.6</v>
      </c>
      <c r="J53" s="178">
        <f t="shared" si="20"/>
        <v>0.67922349803721715</v>
      </c>
      <c r="K53" s="178">
        <f t="shared" si="21"/>
        <v>2.5848991423278709</v>
      </c>
      <c r="L53" s="178">
        <f t="shared" si="22"/>
        <v>1.3164331714535755</v>
      </c>
      <c r="M53" s="454">
        <f t="shared" si="14"/>
        <v>256.322691729567</v>
      </c>
      <c r="N53" s="203">
        <f t="shared" si="23"/>
        <v>350</v>
      </c>
      <c r="O53" s="223">
        <f t="shared" si="24"/>
        <v>0.49742970086534788</v>
      </c>
      <c r="P53" s="179">
        <f t="shared" si="25"/>
        <v>0.96409055425448853</v>
      </c>
      <c r="Q53" s="179">
        <f t="shared" si="26"/>
        <v>8.3924273301735602E-2</v>
      </c>
      <c r="R53" s="179">
        <f t="shared" si="27"/>
        <v>0.56206185567010303</v>
      </c>
    </row>
    <row r="54" spans="3:18" x14ac:dyDescent="0.2">
      <c r="C54" s="176">
        <v>48</v>
      </c>
      <c r="D54" s="6">
        <f t="shared" si="28"/>
        <v>12.4</v>
      </c>
      <c r="E54" s="454">
        <f t="shared" si="15"/>
        <v>24.25</v>
      </c>
      <c r="F54" s="223">
        <f t="shared" si="16"/>
        <v>0.66166439290586632</v>
      </c>
      <c r="G54" s="178">
        <f t="shared" si="17"/>
        <v>5.6509447476125505</v>
      </c>
      <c r="H54" s="223">
        <f t="shared" si="18"/>
        <v>0.23545603115052294</v>
      </c>
      <c r="I54" s="454">
        <f t="shared" si="19"/>
        <v>36.65</v>
      </c>
      <c r="J54" s="178">
        <f t="shared" si="20"/>
        <v>0.67740885302714726</v>
      </c>
      <c r="K54" s="178">
        <f t="shared" si="21"/>
        <v>2.5675980719577352</v>
      </c>
      <c r="L54" s="178">
        <f t="shared" si="22"/>
        <v>1.3129161275165326</v>
      </c>
      <c r="M54" s="454">
        <f t="shared" si="14"/>
        <v>257.69780719665454</v>
      </c>
      <c r="N54" s="203">
        <f t="shared" si="23"/>
        <v>350</v>
      </c>
      <c r="O54" s="223">
        <f t="shared" si="24"/>
        <v>0.49876221714484759</v>
      </c>
      <c r="P54" s="179">
        <f t="shared" si="25"/>
        <v>0.9666731631260963</v>
      </c>
      <c r="Q54" s="179">
        <f t="shared" si="26"/>
        <v>8.437450876665907E-2</v>
      </c>
      <c r="R54" s="179">
        <f t="shared" si="27"/>
        <v>0.56206185567010303</v>
      </c>
    </row>
    <row r="55" spans="3:18" x14ac:dyDescent="0.2">
      <c r="C55" s="176">
        <v>49</v>
      </c>
      <c r="D55" s="6">
        <f t="shared" si="28"/>
        <v>12.45</v>
      </c>
      <c r="E55" s="454">
        <f t="shared" si="15"/>
        <v>24.25</v>
      </c>
      <c r="F55" s="223">
        <f t="shared" si="16"/>
        <v>0.66076294277929148</v>
      </c>
      <c r="G55" s="178">
        <f t="shared" si="17"/>
        <v>5.6660009366485005</v>
      </c>
      <c r="H55" s="223">
        <f t="shared" si="18"/>
        <v>0.23608337236035418</v>
      </c>
      <c r="I55" s="454">
        <f t="shared" si="19"/>
        <v>36.700000000000003</v>
      </c>
      <c r="J55" s="178">
        <f t="shared" si="20"/>
        <v>0.67560878347900577</v>
      </c>
      <c r="K55" s="178">
        <f t="shared" si="21"/>
        <v>2.5504909898404233</v>
      </c>
      <c r="L55" s="178">
        <f t="shared" si="22"/>
        <v>1.3094273329283821</v>
      </c>
      <c r="M55" s="454">
        <f t="shared" si="14"/>
        <v>259.07283946948331</v>
      </c>
      <c r="N55" s="203">
        <f t="shared" si="23"/>
        <v>350</v>
      </c>
      <c r="O55" s="223">
        <f t="shared" si="24"/>
        <v>0.50009110258979816</v>
      </c>
      <c r="P55" s="179">
        <f t="shared" si="25"/>
        <v>0.96924873491630981</v>
      </c>
      <c r="Q55" s="179">
        <f t="shared" si="26"/>
        <v>8.4824716992411273E-2</v>
      </c>
      <c r="R55" s="179">
        <f t="shared" si="27"/>
        <v>0.56206185567010303</v>
      </c>
    </row>
    <row r="56" spans="3:18" x14ac:dyDescent="0.2">
      <c r="C56" s="176">
        <v>50</v>
      </c>
      <c r="D56" s="6">
        <f t="shared" si="28"/>
        <v>12.5</v>
      </c>
      <c r="E56" s="454">
        <f t="shared" si="15"/>
        <v>24.25</v>
      </c>
      <c r="F56" s="223">
        <f t="shared" si="16"/>
        <v>0.65986394557823125</v>
      </c>
      <c r="G56" s="178">
        <f t="shared" si="17"/>
        <v>5.6810161564625838</v>
      </c>
      <c r="H56" s="223">
        <f t="shared" si="18"/>
        <v>0.23670900651927432</v>
      </c>
      <c r="I56" s="454">
        <f t="shared" si="19"/>
        <v>36.75</v>
      </c>
      <c r="J56" s="178">
        <f t="shared" si="20"/>
        <v>0.67382311448724919</v>
      </c>
      <c r="K56" s="178">
        <f t="shared" si="21"/>
        <v>2.5335749104720566</v>
      </c>
      <c r="L56" s="178">
        <f t="shared" si="22"/>
        <v>1.3059664486969365</v>
      </c>
      <c r="M56" s="454">
        <f t="shared" si="14"/>
        <v>260.44777395403128</v>
      </c>
      <c r="N56" s="203">
        <f t="shared" si="23"/>
        <v>350</v>
      </c>
      <c r="O56" s="223">
        <f t="shared" si="24"/>
        <v>0.50141637201993261</v>
      </c>
      <c r="P56" s="179">
        <f t="shared" si="25"/>
        <v>0.97181729834791053</v>
      </c>
      <c r="Q56" s="179">
        <f t="shared" si="26"/>
        <v>8.5274893200668805E-2</v>
      </c>
      <c r="R56" s="179">
        <f t="shared" si="27"/>
        <v>0.56206185567010303</v>
      </c>
    </row>
    <row r="57" spans="3:18" x14ac:dyDescent="0.2">
      <c r="C57" s="176">
        <v>51</v>
      </c>
      <c r="D57" s="6">
        <f t="shared" si="28"/>
        <v>12.55</v>
      </c>
      <c r="E57" s="454">
        <f t="shared" si="15"/>
        <v>24.25</v>
      </c>
      <c r="F57" s="223">
        <f t="shared" si="16"/>
        <v>0.65896739130434789</v>
      </c>
      <c r="G57" s="178">
        <f t="shared" si="17"/>
        <v>5.6959905740489134</v>
      </c>
      <c r="H57" s="223">
        <f t="shared" si="18"/>
        <v>0.23733294058537138</v>
      </c>
      <c r="I57" s="454">
        <f t="shared" si="19"/>
        <v>36.799999999999997</v>
      </c>
      <c r="J57" s="178">
        <f t="shared" si="20"/>
        <v>0.67205167393367382</v>
      </c>
      <c r="K57" s="178">
        <f t="shared" si="21"/>
        <v>2.5168469063651524</v>
      </c>
      <c r="L57" s="178">
        <f t="shared" si="22"/>
        <v>1.3025331412322749</v>
      </c>
      <c r="M57" s="454">
        <f t="shared" si="14"/>
        <v>261.82259621664201</v>
      </c>
      <c r="N57" s="203">
        <f t="shared" si="23"/>
        <v>350</v>
      </c>
      <c r="O57" s="223">
        <f t="shared" si="24"/>
        <v>0.50273804017444168</v>
      </c>
      <c r="P57" s="179">
        <f t="shared" si="25"/>
        <v>0.97437888198757761</v>
      </c>
      <c r="Q57" s="179">
        <f t="shared" si="26"/>
        <v>8.5725032665614723E-2</v>
      </c>
      <c r="R57" s="179">
        <f t="shared" si="27"/>
        <v>0.56206185567010303</v>
      </c>
    </row>
    <row r="58" spans="3:18" x14ac:dyDescent="0.2">
      <c r="C58" s="176">
        <v>52</v>
      </c>
      <c r="D58" s="6">
        <f t="shared" si="28"/>
        <v>12.6</v>
      </c>
      <c r="E58" s="454">
        <f t="shared" si="15"/>
        <v>24.25</v>
      </c>
      <c r="F58" s="223">
        <f t="shared" si="16"/>
        <v>0.65807327001356852</v>
      </c>
      <c r="G58" s="178">
        <f t="shared" si="17"/>
        <v>5.7109243554952505</v>
      </c>
      <c r="H58" s="223">
        <f t="shared" si="18"/>
        <v>0.23795518147896877</v>
      </c>
      <c r="I58" s="454">
        <f t="shared" si="19"/>
        <v>36.85</v>
      </c>
      <c r="J58" s="178">
        <f t="shared" si="20"/>
        <v>0.67029429243211136</v>
      </c>
      <c r="K58" s="178">
        <f t="shared" si="21"/>
        <v>2.5003041066912086</v>
      </c>
      <c r="L58" s="178">
        <f t="shared" si="22"/>
        <v>1.299127082239556</v>
      </c>
      <c r="M58" s="454">
        <f t="shared" si="14"/>
        <v>263.19729198238747</v>
      </c>
      <c r="N58" s="203">
        <f t="shared" si="23"/>
        <v>350</v>
      </c>
      <c r="O58" s="223">
        <f t="shared" si="24"/>
        <v>0.50405612171252068</v>
      </c>
      <c r="P58" s="179">
        <f t="shared" si="25"/>
        <v>0.97693351424694708</v>
      </c>
      <c r="Q58" s="179">
        <f t="shared" si="26"/>
        <v>8.6175130713402451E-2</v>
      </c>
      <c r="R58" s="179">
        <f t="shared" si="27"/>
        <v>0.56206185567010303</v>
      </c>
    </row>
    <row r="59" spans="3:18" x14ac:dyDescent="0.2">
      <c r="C59" s="176">
        <v>53</v>
      </c>
      <c r="D59" s="6">
        <f t="shared" si="28"/>
        <v>12.65</v>
      </c>
      <c r="E59" s="454">
        <f t="shared" si="15"/>
        <v>24.25</v>
      </c>
      <c r="F59" s="223">
        <f t="shared" si="16"/>
        <v>0.65718157181571824</v>
      </c>
      <c r="G59" s="178">
        <f t="shared" si="17"/>
        <v>5.7258176659891591</v>
      </c>
      <c r="H59" s="223">
        <f t="shared" si="18"/>
        <v>0.23857573608288163</v>
      </c>
      <c r="I59" s="454">
        <f t="shared" si="19"/>
        <v>36.9</v>
      </c>
      <c r="J59" s="178">
        <f t="shared" si="20"/>
        <v>0.66855080327443428</v>
      </c>
      <c r="K59" s="178">
        <f t="shared" si="21"/>
        <v>2.4839436959603485</v>
      </c>
      <c r="L59" s="178">
        <f t="shared" si="22"/>
        <v>1.2957479486143675</v>
      </c>
      <c r="M59" s="454">
        <f t="shared" si="14"/>
        <v>264.57184713344998</v>
      </c>
      <c r="N59" s="203">
        <f t="shared" si="23"/>
        <v>350</v>
      </c>
      <c r="O59" s="223">
        <f t="shared" si="24"/>
        <v>0.5053706312139109</v>
      </c>
      <c r="P59" s="179">
        <f t="shared" si="25"/>
        <v>0.97948122338366217</v>
      </c>
      <c r="Q59" s="179">
        <f t="shared" si="26"/>
        <v>8.6625182721625629E-2</v>
      </c>
      <c r="R59" s="179">
        <f t="shared" si="27"/>
        <v>0.56206185567010303</v>
      </c>
    </row>
    <row r="60" spans="3:18" x14ac:dyDescent="0.2">
      <c r="C60" s="176">
        <v>54</v>
      </c>
      <c r="D60" s="6">
        <f t="shared" si="28"/>
        <v>12.7</v>
      </c>
      <c r="E60" s="454">
        <f t="shared" si="15"/>
        <v>24.25</v>
      </c>
      <c r="F60" s="223">
        <f t="shared" si="16"/>
        <v>0.6562922868741542</v>
      </c>
      <c r="G60" s="178">
        <f t="shared" si="17"/>
        <v>5.7406706698240848</v>
      </c>
      <c r="H60" s="223">
        <f t="shared" si="18"/>
        <v>0.23919461124267019</v>
      </c>
      <c r="I60" s="454">
        <f t="shared" si="19"/>
        <v>36.950000000000003</v>
      </c>
      <c r="J60" s="178">
        <f t="shared" si="20"/>
        <v>0.66682104237784179</v>
      </c>
      <c r="K60" s="178">
        <f t="shared" si="21"/>
        <v>2.467762912736895</v>
      </c>
      <c r="L60" s="178">
        <f t="shared" si="22"/>
        <v>1.2923954223405594</v>
      </c>
      <c r="M60" s="454">
        <f t="shared" si="14"/>
        <v>265.94624770751875</v>
      </c>
      <c r="N60" s="203">
        <f t="shared" si="23"/>
        <v>350</v>
      </c>
      <c r="O60" s="223">
        <f t="shared" si="24"/>
        <v>0.50668158317943834</v>
      </c>
      <c r="P60" s="179">
        <f t="shared" si="25"/>
        <v>0.98202203750241657</v>
      </c>
      <c r="Q60" s="179">
        <f t="shared" si="26"/>
        <v>8.7075184118793891E-2</v>
      </c>
      <c r="R60" s="179">
        <f t="shared" si="27"/>
        <v>0.56206185567010303</v>
      </c>
    </row>
    <row r="61" spans="3:18" x14ac:dyDescent="0.2">
      <c r="C61" s="176">
        <v>55</v>
      </c>
      <c r="D61" s="6">
        <f t="shared" si="28"/>
        <v>12.75</v>
      </c>
      <c r="E61" s="454">
        <f t="shared" si="15"/>
        <v>24.25</v>
      </c>
      <c r="F61" s="223">
        <f t="shared" si="16"/>
        <v>0.65540540540540537</v>
      </c>
      <c r="G61" s="178">
        <f t="shared" si="17"/>
        <v>5.7554835304054048</v>
      </c>
      <c r="H61" s="223">
        <f t="shared" si="18"/>
        <v>0.23981181376689187</v>
      </c>
      <c r="I61" s="454">
        <f t="shared" si="19"/>
        <v>37</v>
      </c>
      <c r="J61" s="178">
        <f t="shared" si="20"/>
        <v>0.66510484823337923</v>
      </c>
      <c r="K61" s="178">
        <f t="shared" si="21"/>
        <v>2.4517590483897114</v>
      </c>
      <c r="L61" s="178">
        <f t="shared" si="22"/>
        <v>1.2890691903904667</v>
      </c>
      <c r="M61" s="454">
        <f t="shared" si="14"/>
        <v>267.32047989620702</v>
      </c>
      <c r="N61" s="203">
        <f t="shared" si="23"/>
        <v>350</v>
      </c>
      <c r="O61" s="223">
        <f t="shared" si="24"/>
        <v>0.50798899203154535</v>
      </c>
      <c r="P61" s="179">
        <f t="shared" si="25"/>
        <v>0.9845559845559847</v>
      </c>
      <c r="Q61" s="179">
        <f t="shared" si="26"/>
        <v>8.7525130383813571E-2</v>
      </c>
      <c r="R61" s="179">
        <f t="shared" si="27"/>
        <v>0.56206185567010303</v>
      </c>
    </row>
    <row r="62" spans="3:18" x14ac:dyDescent="0.2">
      <c r="C62" s="176">
        <v>56</v>
      </c>
      <c r="D62" s="6">
        <f t="shared" si="28"/>
        <v>12.8</v>
      </c>
      <c r="E62" s="454">
        <f t="shared" si="15"/>
        <v>24.25</v>
      </c>
      <c r="F62" s="223">
        <f t="shared" si="16"/>
        <v>0.65452091767881249</v>
      </c>
      <c r="G62" s="178">
        <f t="shared" si="17"/>
        <v>5.77025641025641</v>
      </c>
      <c r="H62" s="223">
        <f t="shared" si="18"/>
        <v>0.24042735042735042</v>
      </c>
      <c r="I62" s="454">
        <f t="shared" si="19"/>
        <v>37.049999999999997</v>
      </c>
      <c r="J62" s="178">
        <f t="shared" si="20"/>
        <v>0.66340206185567008</v>
      </c>
      <c r="K62" s="178">
        <f t="shared" si="21"/>
        <v>2.4359294458762886</v>
      </c>
      <c r="L62" s="178">
        <f t="shared" si="22"/>
        <v>1.2857689446274843</v>
      </c>
      <c r="M62" s="454">
        <f t="shared" si="14"/>
        <v>268.69453004348344</v>
      </c>
      <c r="N62" s="203">
        <f t="shared" si="23"/>
        <v>350</v>
      </c>
      <c r="O62" s="223">
        <f t="shared" si="24"/>
        <v>0.50929287211482066</v>
      </c>
      <c r="P62" s="179">
        <f t="shared" si="25"/>
        <v>0.98708309234625025</v>
      </c>
      <c r="Q62" s="179">
        <f t="shared" si="26"/>
        <v>8.7975017045475098E-2</v>
      </c>
      <c r="R62" s="179">
        <f t="shared" si="27"/>
        <v>0.56206185567010303</v>
      </c>
    </row>
    <row r="63" spans="3:18" x14ac:dyDescent="0.2">
      <c r="C63" s="176">
        <v>57</v>
      </c>
      <c r="D63" s="6">
        <f t="shared" si="28"/>
        <v>12.85</v>
      </c>
      <c r="E63" s="454">
        <f t="shared" si="15"/>
        <v>24.25</v>
      </c>
      <c r="F63" s="223">
        <f t="shared" si="16"/>
        <v>0.65363881401617252</v>
      </c>
      <c r="G63" s="178">
        <f t="shared" si="17"/>
        <v>5.7849894710242582</v>
      </c>
      <c r="H63" s="223">
        <f t="shared" si="18"/>
        <v>0.2410412279593441</v>
      </c>
      <c r="I63" s="454">
        <f t="shared" si="19"/>
        <v>37.1</v>
      </c>
      <c r="J63" s="178">
        <f t="shared" si="20"/>
        <v>0.66171252673381886</v>
      </c>
      <c r="K63" s="178">
        <f t="shared" si="21"/>
        <v>2.4202714985594933</v>
      </c>
      <c r="L63" s="178">
        <f t="shared" si="22"/>
        <v>1.2824943817109067</v>
      </c>
      <c r="M63" s="454">
        <f t="shared" si="14"/>
        <v>270.06838464412272</v>
      </c>
      <c r="N63" s="203">
        <f t="shared" si="23"/>
        <v>350</v>
      </c>
      <c r="O63" s="223">
        <f t="shared" si="24"/>
        <v>0.51059323769652387</v>
      </c>
      <c r="P63" s="179">
        <f t="shared" si="25"/>
        <v>0.98960338852522145</v>
      </c>
      <c r="Q63" s="179">
        <f t="shared" si="26"/>
        <v>8.8424839681945186E-2</v>
      </c>
      <c r="R63" s="179">
        <f t="shared" si="27"/>
        <v>0.56206185567010303</v>
      </c>
    </row>
    <row r="64" spans="3:18" x14ac:dyDescent="0.2">
      <c r="C64" s="176">
        <v>58</v>
      </c>
      <c r="D64" s="6">
        <f t="shared" si="28"/>
        <v>12.9</v>
      </c>
      <c r="E64" s="454">
        <f t="shared" si="15"/>
        <v>24.25</v>
      </c>
      <c r="F64" s="223">
        <f t="shared" si="16"/>
        <v>0.65275908479138633</v>
      </c>
      <c r="G64" s="178">
        <f t="shared" si="17"/>
        <v>5.7996828734858692</v>
      </c>
      <c r="H64" s="223">
        <f t="shared" si="18"/>
        <v>0.24165345306191122</v>
      </c>
      <c r="I64" s="454">
        <f t="shared" si="19"/>
        <v>37.15</v>
      </c>
      <c r="J64" s="178">
        <f t="shared" si="20"/>
        <v>0.66003608878345466</v>
      </c>
      <c r="K64" s="178">
        <f t="shared" si="21"/>
        <v>2.4047826490559974</v>
      </c>
      <c r="L64" s="178">
        <f t="shared" si="22"/>
        <v>1.2792452030029842</v>
      </c>
      <c r="M64" s="454">
        <f t="shared" si="14"/>
        <v>271.44203034217179</v>
      </c>
      <c r="N64" s="203">
        <f t="shared" si="23"/>
        <v>350</v>
      </c>
      <c r="O64" s="223">
        <f t="shared" si="24"/>
        <v>0.51189010296710535</v>
      </c>
      <c r="P64" s="179">
        <f t="shared" si="25"/>
        <v>0.99211690059603919</v>
      </c>
      <c r="Q64" s="179">
        <f t="shared" si="26"/>
        <v>8.8874593920264588E-2</v>
      </c>
      <c r="R64" s="179">
        <f t="shared" si="27"/>
        <v>0.56206185567010303</v>
      </c>
    </row>
    <row r="65" spans="3:18" x14ac:dyDescent="0.2">
      <c r="C65" s="176">
        <v>59</v>
      </c>
      <c r="D65" s="6">
        <f t="shared" si="28"/>
        <v>12.95</v>
      </c>
      <c r="E65" s="454">
        <f t="shared" si="15"/>
        <v>24.25</v>
      </c>
      <c r="F65" s="223">
        <f t="shared" si="16"/>
        <v>0.6518817204301075</v>
      </c>
      <c r="G65" s="178">
        <f t="shared" si="17"/>
        <v>5.8143367775537627</v>
      </c>
      <c r="H65" s="223">
        <f t="shared" si="18"/>
        <v>0.24226403239807345</v>
      </c>
      <c r="I65" s="454">
        <f t="shared" si="19"/>
        <v>37.200000000000003</v>
      </c>
      <c r="J65" s="178">
        <f t="shared" si="20"/>
        <v>0.65837259629988898</v>
      </c>
      <c r="K65" s="178">
        <f t="shared" si="21"/>
        <v>2.3894603881154275</v>
      </c>
      <c r="L65" s="178">
        <f t="shared" si="22"/>
        <v>1.2760211144781353</v>
      </c>
      <c r="M65" s="454">
        <f t="shared" si="14"/>
        <v>272.81545392943218</v>
      </c>
      <c r="N65" s="203">
        <f t="shared" si="23"/>
        <v>350</v>
      </c>
      <c r="O65" s="223">
        <f t="shared" si="24"/>
        <v>0.51318348204072295</v>
      </c>
      <c r="P65" s="179">
        <f t="shared" si="25"/>
        <v>0.9946236559139785</v>
      </c>
      <c r="Q65" s="179">
        <f t="shared" si="26"/>
        <v>8.9324275435851641E-2</v>
      </c>
      <c r="R65" s="179">
        <f t="shared" si="27"/>
        <v>0.56206185567010303</v>
      </c>
    </row>
    <row r="66" spans="3:18" x14ac:dyDescent="0.2">
      <c r="C66" s="176">
        <v>60</v>
      </c>
      <c r="D66" s="6">
        <f t="shared" si="28"/>
        <v>13</v>
      </c>
      <c r="E66" s="454">
        <f t="shared" si="15"/>
        <v>24.25</v>
      </c>
      <c r="F66" s="223">
        <f t="shared" si="16"/>
        <v>0.65100671140939592</v>
      </c>
      <c r="G66" s="178">
        <f t="shared" si="17"/>
        <v>5.8289513422818775</v>
      </c>
      <c r="H66" s="223">
        <f t="shared" si="18"/>
        <v>0.24287297259507823</v>
      </c>
      <c r="I66" s="454">
        <f t="shared" si="19"/>
        <v>37.25</v>
      </c>
      <c r="J66" s="178">
        <f t="shared" si="20"/>
        <v>0.65672189991235042</v>
      </c>
      <c r="K66" s="178">
        <f t="shared" si="21"/>
        <v>2.3743022535292666</v>
      </c>
      <c r="L66" s="178">
        <f t="shared" si="22"/>
        <v>1.2728218266342459</v>
      </c>
      <c r="M66" s="454">
        <f t="shared" si="14"/>
        <v>274.18864234396068</v>
      </c>
      <c r="N66" s="203">
        <f t="shared" si="23"/>
        <v>350</v>
      </c>
      <c r="O66" s="223">
        <f t="shared" si="24"/>
        <v>0.51447338895575367</v>
      </c>
      <c r="P66" s="179">
        <f t="shared" si="25"/>
        <v>0.99712368168744003</v>
      </c>
      <c r="Q66" s="179">
        <f t="shared" si="26"/>
        <v>8.9773879952010707E-2</v>
      </c>
      <c r="R66" s="179">
        <f t="shared" si="27"/>
        <v>0.56206185567010303</v>
      </c>
    </row>
    <row r="67" spans="3:18" x14ac:dyDescent="0.2">
      <c r="C67" s="176">
        <v>61</v>
      </c>
      <c r="D67" s="6">
        <f t="shared" si="28"/>
        <v>13.05</v>
      </c>
      <c r="E67" s="454">
        <f t="shared" si="15"/>
        <v>24.25</v>
      </c>
      <c r="F67" s="223">
        <f t="shared" si="16"/>
        <v>0.65013404825737275</v>
      </c>
      <c r="G67" s="178">
        <f t="shared" si="17"/>
        <v>5.8435267258713139</v>
      </c>
      <c r="H67" s="223">
        <f t="shared" si="18"/>
        <v>0.24348028024463808</v>
      </c>
      <c r="I67" s="454">
        <f t="shared" si="19"/>
        <v>37.299999999999997</v>
      </c>
      <c r="J67" s="178">
        <f t="shared" si="20"/>
        <v>0.65508385253927548</v>
      </c>
      <c r="K67" s="178">
        <f t="shared" si="21"/>
        <v>2.359305829068655</v>
      </c>
      <c r="L67" s="178">
        <f t="shared" si="22"/>
        <v>1.2696470544060185</v>
      </c>
      <c r="M67" s="454">
        <f t="shared" si="14"/>
        <v>275.5615826685833</v>
      </c>
      <c r="N67" s="203">
        <f t="shared" si="23"/>
        <v>350</v>
      </c>
      <c r="O67" s="223">
        <f t="shared" si="24"/>
        <v>0.51575983767530176</v>
      </c>
      <c r="P67" s="179">
        <f t="shared" si="25"/>
        <v>0.99961700497893524</v>
      </c>
      <c r="Q67" s="179">
        <f t="shared" si="26"/>
        <v>9.0223403239446207E-2</v>
      </c>
      <c r="R67" s="179">
        <f t="shared" si="27"/>
        <v>0.56206185567010303</v>
      </c>
    </row>
    <row r="68" spans="3:18" x14ac:dyDescent="0.2">
      <c r="C68" s="176">
        <v>62</v>
      </c>
      <c r="D68" s="6">
        <f t="shared" si="28"/>
        <v>13.1</v>
      </c>
      <c r="E68" s="454">
        <f t="shared" si="15"/>
        <v>24.25</v>
      </c>
      <c r="F68" s="223">
        <f t="shared" si="16"/>
        <v>0.64926372155287815</v>
      </c>
      <c r="G68" s="178">
        <f t="shared" si="17"/>
        <v>5.8580630856760374</v>
      </c>
      <c r="H68" s="223">
        <f t="shared" si="18"/>
        <v>0.24408596190316822</v>
      </c>
      <c r="I68" s="454">
        <f t="shared" si="19"/>
        <v>37.35</v>
      </c>
      <c r="J68" s="178">
        <f t="shared" si="20"/>
        <v>0.65345830934462168</v>
      </c>
      <c r="K68" s="178">
        <f t="shared" si="21"/>
        <v>2.344468743450169</v>
      </c>
      <c r="L68" s="178">
        <f t="shared" si="22"/>
        <v>1.2664965170802978</v>
      </c>
      <c r="M68" s="454">
        <f t="shared" si="14"/>
        <v>276.93426212942728</v>
      </c>
      <c r="N68" s="203">
        <f t="shared" si="23"/>
        <v>350</v>
      </c>
      <c r="O68" s="223">
        <f t="shared" si="24"/>
        <v>0.51704284208770235</v>
      </c>
      <c r="P68" s="179">
        <f t="shared" si="25"/>
        <v>1.0021036527060621</v>
      </c>
      <c r="Q68" s="179">
        <f t="shared" si="26"/>
        <v>9.0672841115781777E-2</v>
      </c>
      <c r="R68" s="179">
        <f t="shared" si="27"/>
        <v>0.56206185567010303</v>
      </c>
    </row>
    <row r="69" spans="3:18" x14ac:dyDescent="0.2">
      <c r="C69" s="176">
        <v>63</v>
      </c>
      <c r="D69" s="6">
        <f t="shared" si="28"/>
        <v>13.15</v>
      </c>
      <c r="E69" s="454">
        <f t="shared" si="15"/>
        <v>24.25</v>
      </c>
      <c r="F69" s="223">
        <f t="shared" si="16"/>
        <v>0.64839572192513373</v>
      </c>
      <c r="G69" s="178">
        <f t="shared" si="17"/>
        <v>5.8725605782085557</v>
      </c>
      <c r="H69" s="223">
        <f t="shared" si="18"/>
        <v>0.24469002409202315</v>
      </c>
      <c r="I69" s="454">
        <f t="shared" si="19"/>
        <v>37.4</v>
      </c>
      <c r="J69" s="178">
        <f t="shared" si="20"/>
        <v>0.65184512769517389</v>
      </c>
      <c r="K69" s="178">
        <f t="shared" si="21"/>
        <v>2.3297886693287579</v>
      </c>
      <c r="L69" s="178">
        <f t="shared" si="22"/>
        <v>1.2633699382133265</v>
      </c>
      <c r="M69" s="454">
        <f t="shared" si="14"/>
        <v>278.30666809446922</v>
      </c>
      <c r="N69" s="203">
        <f t="shared" si="23"/>
        <v>350</v>
      </c>
      <c r="O69" s="223">
        <f t="shared" si="24"/>
        <v>0.51832241600702178</v>
      </c>
      <c r="P69" s="179">
        <f t="shared" si="25"/>
        <v>1.0045836516424751</v>
      </c>
      <c r="Q69" s="179">
        <f t="shared" si="26"/>
        <v>9.1122189445084711E-2</v>
      </c>
      <c r="R69" s="179">
        <f t="shared" si="27"/>
        <v>0.56206185567010303</v>
      </c>
    </row>
    <row r="70" spans="3:18" x14ac:dyDescent="0.2">
      <c r="C70" s="176">
        <v>64</v>
      </c>
      <c r="D70" s="6">
        <f t="shared" si="28"/>
        <v>13.2</v>
      </c>
      <c r="E70" s="454">
        <f t="shared" ref="E70:E106" si="29">(Vout+Vfwd1)*Nps</f>
        <v>24.25</v>
      </c>
      <c r="F70" s="223">
        <f t="shared" ref="F70:F106" si="30">(Vout+Vfwd1)*Nps/((Vout+Vfwd1)*Nps+D70)</f>
        <v>0.64753004005340453</v>
      </c>
      <c r="G70" s="178">
        <f t="shared" ref="G70:G101" si="31">F70*D70*Isw_max*0.5*Efficiency</f>
        <v>5.8870193591455262</v>
      </c>
      <c r="H70" s="223">
        <f t="shared" ref="H70:H101" si="32">G70/Vout</f>
        <v>0.24529247329773027</v>
      </c>
      <c r="I70" s="454">
        <f t="shared" ref="I70:I106" si="33">(Vout+Vfwd1)*Nps+D70</f>
        <v>37.450000000000003</v>
      </c>
      <c r="J70" s="178">
        <f t="shared" ref="J70:J106" si="34">MIN(2*Vout*Iout/(Efficiency*D70*F70), 1.35)</f>
        <v>0.65024416711882804</v>
      </c>
      <c r="K70" s="178">
        <f t="shared" ref="K70:K101" si="35">L*J70/D70*1000000</f>
        <v>2.3152633223170391</v>
      </c>
      <c r="L70" s="178">
        <f t="shared" ref="L70:L106" si="36">L*J70/((Vout+Vfwd1)*Nps)*1000000</f>
        <v>1.2602670455498934</v>
      </c>
      <c r="M70" s="454">
        <f t="shared" si="14"/>
        <v>279.67878807209615</v>
      </c>
      <c r="N70" s="203">
        <f t="shared" ref="N70:N106" si="37">IF(1/((350000*L)*(1/D70+1/E70))&gt;Isw_min, 350, 0.001/((Isw_min*L)*(1/D70+1/E70)))</f>
        <v>350</v>
      </c>
      <c r="O70" s="223">
        <f t="shared" ref="O70:O101" si="38">1/((N70*1000*L)*(1/D70+1/E70))</f>
        <v>0.51959857317355251</v>
      </c>
      <c r="P70" s="179">
        <f t="shared" ref="P70:P101" si="39">L*O70/E70*1000000</f>
        <v>1.0070570284188438</v>
      </c>
      <c r="Q70" s="179">
        <f t="shared" ref="Q70:Q101" si="40">0.5*P70*O70*Nps*N70/1000</f>
        <v>9.1571444137395056E-2</v>
      </c>
      <c r="R70" s="179">
        <f t="shared" ref="R70:R106" si="41">L*Isw_min/E70*1000000</f>
        <v>0.56206185567010303</v>
      </c>
    </row>
    <row r="71" spans="3:18" x14ac:dyDescent="0.2">
      <c r="C71" s="176">
        <v>65</v>
      </c>
      <c r="D71" s="6">
        <f t="shared" ref="D71:D102" si="42">C71/100*(VIN_max-VIN_min)+VIN_min</f>
        <v>13.25</v>
      </c>
      <c r="E71" s="454">
        <f t="shared" si="29"/>
        <v>24.25</v>
      </c>
      <c r="F71" s="223">
        <f t="shared" si="30"/>
        <v>0.64666666666666661</v>
      </c>
      <c r="G71" s="178">
        <f t="shared" si="31"/>
        <v>5.9014395833333335</v>
      </c>
      <c r="H71" s="223">
        <f t="shared" si="32"/>
        <v>0.24589331597222222</v>
      </c>
      <c r="I71" s="454">
        <f t="shared" si="33"/>
        <v>37.5</v>
      </c>
      <c r="J71" s="178">
        <f t="shared" si="34"/>
        <v>0.64865528926381333</v>
      </c>
      <c r="K71" s="178">
        <f t="shared" si="35"/>
        <v>2.3008904600301303</v>
      </c>
      <c r="L71" s="178">
        <f t="shared" si="36"/>
        <v>1.2571875709442979</v>
      </c>
      <c r="M71" s="454">
        <f t="shared" ref="M71:M106" si="43">MIN(1/(K71+L71)*1000, 350)</f>
        <v>281.05060970968538</v>
      </c>
      <c r="N71" s="203">
        <f t="shared" si="37"/>
        <v>350</v>
      </c>
      <c r="O71" s="223">
        <f t="shared" si="38"/>
        <v>0.52087132725430596</v>
      </c>
      <c r="P71" s="179">
        <f t="shared" si="39"/>
        <v>1.0095238095238093</v>
      </c>
      <c r="Q71" s="179">
        <f t="shared" si="40"/>
        <v>9.2020601148260689E-2</v>
      </c>
      <c r="R71" s="179">
        <f t="shared" si="41"/>
        <v>0.56206185567010303</v>
      </c>
    </row>
    <row r="72" spans="3:18" x14ac:dyDescent="0.2">
      <c r="C72" s="176">
        <v>66</v>
      </c>
      <c r="D72" s="6">
        <f t="shared" si="42"/>
        <v>13.3</v>
      </c>
      <c r="E72" s="454">
        <f t="shared" si="29"/>
        <v>24.25</v>
      </c>
      <c r="F72" s="223">
        <f t="shared" si="30"/>
        <v>0.64580559254327563</v>
      </c>
      <c r="G72" s="178">
        <f t="shared" si="31"/>
        <v>5.9158214047936086</v>
      </c>
      <c r="H72" s="223">
        <f t="shared" si="32"/>
        <v>0.24649255853306704</v>
      </c>
      <c r="I72" s="454">
        <f t="shared" si="33"/>
        <v>37.549999999999997</v>
      </c>
      <c r="J72" s="178">
        <f t="shared" si="34"/>
        <v>0.64707835785883594</v>
      </c>
      <c r="K72" s="178">
        <f t="shared" si="35"/>
        <v>2.2866678811552847</v>
      </c>
      <c r="L72" s="178">
        <f t="shared" si="36"/>
        <v>1.2541312502831048</v>
      </c>
      <c r="M72" s="454">
        <f t="shared" si="43"/>
        <v>282.42212079219723</v>
      </c>
      <c r="N72" s="203">
        <f t="shared" si="37"/>
        <v>350</v>
      </c>
      <c r="O72" s="223">
        <f t="shared" si="38"/>
        <v>0.52214069184349954</v>
      </c>
      <c r="P72" s="179">
        <f t="shared" si="39"/>
        <v>1.0119840213049269</v>
      </c>
      <c r="Q72" s="179">
        <f t="shared" si="40"/>
        <v>9.2469656478276235E-2</v>
      </c>
      <c r="R72" s="179">
        <f t="shared" si="41"/>
        <v>0.56206185567010303</v>
      </c>
    </row>
    <row r="73" spans="3:18" x14ac:dyDescent="0.2">
      <c r="C73" s="176">
        <v>67</v>
      </c>
      <c r="D73" s="6">
        <f t="shared" si="42"/>
        <v>13.35</v>
      </c>
      <c r="E73" s="454">
        <f t="shared" si="29"/>
        <v>24.25</v>
      </c>
      <c r="F73" s="223">
        <f t="shared" si="30"/>
        <v>0.64494680851063824</v>
      </c>
      <c r="G73" s="178">
        <f t="shared" si="31"/>
        <v>5.9301649767287232</v>
      </c>
      <c r="H73" s="223">
        <f t="shared" si="32"/>
        <v>0.2470902073636968</v>
      </c>
      <c r="I73" s="454">
        <f t="shared" si="33"/>
        <v>37.6</v>
      </c>
      <c r="J73" s="178">
        <f t="shared" si="34"/>
        <v>0.6455132386741208</v>
      </c>
      <c r="K73" s="178">
        <f t="shared" si="35"/>
        <v>2.2725934245455939</v>
      </c>
      <c r="L73" s="178">
        <f t="shared" si="36"/>
        <v>1.2510978234096362</v>
      </c>
      <c r="M73" s="454">
        <f t="shared" si="43"/>
        <v>283.79330924078323</v>
      </c>
      <c r="N73" s="203">
        <f t="shared" si="37"/>
        <v>350</v>
      </c>
      <c r="O73" s="223">
        <f t="shared" si="38"/>
        <v>0.52340668046304073</v>
      </c>
      <c r="P73" s="179">
        <f t="shared" si="39"/>
        <v>1.0144376899696048</v>
      </c>
      <c r="Q73" s="179">
        <f t="shared" si="40"/>
        <v>9.291860617262758E-2</v>
      </c>
      <c r="R73" s="179">
        <f t="shared" si="41"/>
        <v>0.56206185567010303</v>
      </c>
    </row>
    <row r="74" spans="3:18" x14ac:dyDescent="0.2">
      <c r="C74" s="176">
        <v>68</v>
      </c>
      <c r="D74" s="6">
        <f t="shared" si="42"/>
        <v>13.4</v>
      </c>
      <c r="E74" s="454">
        <f t="shared" si="29"/>
        <v>24.25</v>
      </c>
      <c r="F74" s="223">
        <f t="shared" si="30"/>
        <v>0.6440903054448871</v>
      </c>
      <c r="G74" s="178">
        <f t="shared" si="31"/>
        <v>5.9444704515272235</v>
      </c>
      <c r="H74" s="223">
        <f t="shared" si="32"/>
        <v>0.24768626881363431</v>
      </c>
      <c r="I74" s="454">
        <f t="shared" si="33"/>
        <v>37.65</v>
      </c>
      <c r="J74" s="178">
        <f t="shared" si="34"/>
        <v>0.64395979948332138</v>
      </c>
      <c r="K74" s="178">
        <f t="shared" si="35"/>
        <v>2.2586649683370226</v>
      </c>
      <c r="L74" s="178">
        <f t="shared" si="36"/>
        <v>1.2480870340501484</v>
      </c>
      <c r="M74" s="454">
        <f t="shared" si="43"/>
        <v>285.16416311141035</v>
      </c>
      <c r="N74" s="203">
        <f t="shared" si="37"/>
        <v>350</v>
      </c>
      <c r="O74" s="223">
        <f t="shared" si="38"/>
        <v>0.52466930656300848</v>
      </c>
      <c r="P74" s="179">
        <f t="shared" si="39"/>
        <v>1.016884841586037</v>
      </c>
      <c r="Q74" s="179">
        <f t="shared" si="40"/>
        <v>9.3367446320641631E-2</v>
      </c>
      <c r="R74" s="179">
        <f t="shared" si="41"/>
        <v>0.56206185567010303</v>
      </c>
    </row>
    <row r="75" spans="3:18" x14ac:dyDescent="0.2">
      <c r="C75" s="176">
        <v>69</v>
      </c>
      <c r="D75" s="6">
        <f t="shared" si="42"/>
        <v>13.45</v>
      </c>
      <c r="E75" s="454">
        <f t="shared" si="29"/>
        <v>24.25</v>
      </c>
      <c r="F75" s="223">
        <f t="shared" si="30"/>
        <v>0.64323607427055696</v>
      </c>
      <c r="G75" s="178">
        <f t="shared" si="31"/>
        <v>5.9587379807692296</v>
      </c>
      <c r="H75" s="223">
        <f t="shared" si="32"/>
        <v>0.2482807491987179</v>
      </c>
      <c r="I75" s="454">
        <f t="shared" si="33"/>
        <v>37.700000000000003</v>
      </c>
      <c r="J75" s="178">
        <f t="shared" si="34"/>
        <v>0.64241791002628268</v>
      </c>
      <c r="K75" s="178">
        <f t="shared" si="35"/>
        <v>2.2448804290881252</v>
      </c>
      <c r="L75" s="178">
        <f t="shared" si="36"/>
        <v>1.2450986297416611</v>
      </c>
      <c r="M75" s="454">
        <f t="shared" si="43"/>
        <v>286.53467059349828</v>
      </c>
      <c r="N75" s="203">
        <f t="shared" si="37"/>
        <v>350</v>
      </c>
      <c r="O75" s="223">
        <f t="shared" si="38"/>
        <v>0.52592858352212712</v>
      </c>
      <c r="P75" s="179">
        <f t="shared" si="39"/>
        <v>1.0193255020841225</v>
      </c>
      <c r="Q75" s="179">
        <f t="shared" si="40"/>
        <v>9.3816173055339638E-2</v>
      </c>
      <c r="R75" s="179">
        <f t="shared" si="41"/>
        <v>0.56206185567010303</v>
      </c>
    </row>
    <row r="76" spans="3:18" x14ac:dyDescent="0.2">
      <c r="C76" s="176">
        <v>70</v>
      </c>
      <c r="D76" s="6">
        <f t="shared" si="42"/>
        <v>13.5</v>
      </c>
      <c r="E76" s="454">
        <f t="shared" si="29"/>
        <v>24.25</v>
      </c>
      <c r="F76" s="223">
        <f t="shared" si="30"/>
        <v>0.64238410596026485</v>
      </c>
      <c r="G76" s="178">
        <f t="shared" si="31"/>
        <v>5.9729677152317864</v>
      </c>
      <c r="H76" s="223">
        <f t="shared" si="32"/>
        <v>0.24887365480132442</v>
      </c>
      <c r="I76" s="454">
        <f t="shared" si="33"/>
        <v>37.75</v>
      </c>
      <c r="J76" s="178">
        <f t="shared" si="34"/>
        <v>0.64088744197262926</v>
      </c>
      <c r="K76" s="178">
        <f t="shared" si="35"/>
        <v>2.2312377609417462</v>
      </c>
      <c r="L76" s="178">
        <f t="shared" si="36"/>
        <v>1.2421323617613844</v>
      </c>
      <c r="M76" s="454">
        <f t="shared" si="43"/>
        <v>287.90482000857304</v>
      </c>
      <c r="N76" s="203">
        <f t="shared" si="37"/>
        <v>350</v>
      </c>
      <c r="O76" s="223">
        <f t="shared" si="38"/>
        <v>0.52718452464824184</v>
      </c>
      <c r="P76" s="179">
        <f t="shared" si="39"/>
        <v>1.0217596972563863</v>
      </c>
      <c r="Q76" s="179">
        <f t="shared" si="40"/>
        <v>9.4264782552996904E-2</v>
      </c>
      <c r="R76" s="179">
        <f t="shared" si="41"/>
        <v>0.56206185567010303</v>
      </c>
    </row>
    <row r="77" spans="3:18" x14ac:dyDescent="0.2">
      <c r="C77" s="176">
        <v>71</v>
      </c>
      <c r="D77" s="6">
        <f t="shared" si="42"/>
        <v>13.55</v>
      </c>
      <c r="E77" s="454">
        <f t="shared" si="29"/>
        <v>24.25</v>
      </c>
      <c r="F77" s="223">
        <f t="shared" si="30"/>
        <v>0.64153439153439162</v>
      </c>
      <c r="G77" s="178">
        <f t="shared" si="31"/>
        <v>5.9871598048941799</v>
      </c>
      <c r="H77" s="223">
        <f t="shared" si="32"/>
        <v>0.24946499187059082</v>
      </c>
      <c r="I77" s="454">
        <f t="shared" si="33"/>
        <v>37.799999999999997</v>
      </c>
      <c r="J77" s="178">
        <f t="shared" si="34"/>
        <v>0.63936826888616127</v>
      </c>
      <c r="K77" s="178">
        <f t="shared" si="35"/>
        <v>2.2177349548080869</v>
      </c>
      <c r="L77" s="178">
        <f t="shared" si="36"/>
        <v>1.2391879850577145</v>
      </c>
      <c r="M77" s="454">
        <f t="shared" si="43"/>
        <v>289.27459980893298</v>
      </c>
      <c r="N77" s="203">
        <f t="shared" si="37"/>
        <v>350</v>
      </c>
      <c r="O77" s="223">
        <f t="shared" si="38"/>
        <v>0.52843714317878454</v>
      </c>
      <c r="P77" s="179">
        <f t="shared" si="39"/>
        <v>1.0241874527588812</v>
      </c>
      <c r="Q77" s="179">
        <f t="shared" si="40"/>
        <v>9.4713271032705423E-2</v>
      </c>
      <c r="R77" s="179">
        <f t="shared" si="41"/>
        <v>0.56206185567010303</v>
      </c>
    </row>
    <row r="78" spans="3:18" x14ac:dyDescent="0.2">
      <c r="C78" s="176">
        <v>72</v>
      </c>
      <c r="D78" s="6">
        <f t="shared" si="42"/>
        <v>13.6</v>
      </c>
      <c r="E78" s="454">
        <f t="shared" si="29"/>
        <v>24.25</v>
      </c>
      <c r="F78" s="223">
        <f t="shared" si="30"/>
        <v>0.64068692206076616</v>
      </c>
      <c r="G78" s="178">
        <f t="shared" si="31"/>
        <v>6.0013143989431956</v>
      </c>
      <c r="H78" s="223">
        <f t="shared" si="32"/>
        <v>0.25005476662263315</v>
      </c>
      <c r="I78" s="454">
        <f t="shared" si="33"/>
        <v>37.85</v>
      </c>
      <c r="J78" s="178">
        <f t="shared" si="34"/>
        <v>0.63786026619003544</v>
      </c>
      <c r="K78" s="178">
        <f t="shared" si="35"/>
        <v>2.2043700375685047</v>
      </c>
      <c r="L78" s="178">
        <f t="shared" si="36"/>
        <v>1.2362652581827489</v>
      </c>
      <c r="M78" s="454">
        <f t="shared" si="43"/>
        <v>290.64399857633055</v>
      </c>
      <c r="N78" s="203">
        <f t="shared" si="37"/>
        <v>350</v>
      </c>
      <c r="O78" s="223">
        <f t="shared" si="38"/>
        <v>0.52968645228124134</v>
      </c>
      <c r="P78" s="179">
        <f t="shared" si="39"/>
        <v>1.0266087941120965</v>
      </c>
      <c r="Q78" s="179">
        <f t="shared" si="40"/>
        <v>9.5161634755942956E-2</v>
      </c>
      <c r="R78" s="179">
        <f t="shared" si="41"/>
        <v>0.56206185567010303</v>
      </c>
    </row>
    <row r="79" spans="3:18" x14ac:dyDescent="0.2">
      <c r="C79" s="176">
        <v>73</v>
      </c>
      <c r="D79" s="6">
        <f t="shared" si="42"/>
        <v>13.65</v>
      </c>
      <c r="E79" s="454">
        <f t="shared" si="29"/>
        <v>24.25</v>
      </c>
      <c r="F79" s="223">
        <f t="shared" si="30"/>
        <v>0.63984168865435354</v>
      </c>
      <c r="G79" s="178">
        <f t="shared" si="31"/>
        <v>6.0154316457783645</v>
      </c>
      <c r="H79" s="223">
        <f t="shared" si="32"/>
        <v>0.25064298524076517</v>
      </c>
      <c r="I79" s="454">
        <f t="shared" si="33"/>
        <v>37.9</v>
      </c>
      <c r="J79" s="178">
        <f t="shared" si="34"/>
        <v>0.63636331113270894</v>
      </c>
      <c r="K79" s="178">
        <f t="shared" si="35"/>
        <v>2.1911410712994375</v>
      </c>
      <c r="L79" s="178">
        <f t="shared" si="36"/>
        <v>1.2333639432262811</v>
      </c>
      <c r="M79" s="454">
        <f t="shared" si="43"/>
        <v>292.01300502066761</v>
      </c>
      <c r="N79" s="203">
        <f t="shared" si="37"/>
        <v>350</v>
      </c>
      <c r="O79" s="223">
        <f t="shared" si="38"/>
        <v>0.53093246505361258</v>
      </c>
      <c r="P79" s="179">
        <f t="shared" si="39"/>
        <v>1.029023746701847</v>
      </c>
      <c r="Q79" s="179">
        <f t="shared" si="40"/>
        <v>9.5609870026145294E-2</v>
      </c>
      <c r="R79" s="179">
        <f t="shared" si="41"/>
        <v>0.56206185567010303</v>
      </c>
    </row>
    <row r="80" spans="3:18" x14ac:dyDescent="0.2">
      <c r="C80" s="176">
        <v>74</v>
      </c>
      <c r="D80" s="6">
        <f t="shared" si="42"/>
        <v>13.7</v>
      </c>
      <c r="E80" s="454">
        <f t="shared" si="29"/>
        <v>24.25</v>
      </c>
      <c r="F80" s="223">
        <f t="shared" si="30"/>
        <v>0.63899868247694325</v>
      </c>
      <c r="G80" s="178">
        <f t="shared" si="31"/>
        <v>6.0295116930171249</v>
      </c>
      <c r="H80" s="223">
        <f t="shared" si="32"/>
        <v>0.25122965387571355</v>
      </c>
      <c r="I80" s="454">
        <f t="shared" si="33"/>
        <v>37.950000000000003</v>
      </c>
      <c r="J80" s="178">
        <f t="shared" si="34"/>
        <v>0.63487728275463295</v>
      </c>
      <c r="K80" s="178">
        <f t="shared" si="35"/>
        <v>2.1780461525158943</v>
      </c>
      <c r="L80" s="178">
        <f t="shared" si="36"/>
        <v>1.2304838057512475</v>
      </c>
      <c r="M80" s="454">
        <f t="shared" si="43"/>
        <v>293.38160797870432</v>
      </c>
      <c r="N80" s="203">
        <f t="shared" si="37"/>
        <v>350</v>
      </c>
      <c r="O80" s="223">
        <f t="shared" si="38"/>
        <v>0.53217519452487072</v>
      </c>
      <c r="P80" s="179">
        <f t="shared" si="39"/>
        <v>1.0314323357801616</v>
      </c>
      <c r="Q80" s="179">
        <f t="shared" si="40"/>
        <v>9.605797318828363E-2</v>
      </c>
      <c r="R80" s="179">
        <f t="shared" si="41"/>
        <v>0.56206185567010303</v>
      </c>
    </row>
    <row r="81" spans="3:18" x14ac:dyDescent="0.2">
      <c r="C81" s="176">
        <v>75</v>
      </c>
      <c r="D81" s="6">
        <f t="shared" si="42"/>
        <v>13.75</v>
      </c>
      <c r="E81" s="454">
        <f t="shared" si="29"/>
        <v>24.25</v>
      </c>
      <c r="F81" s="223">
        <f t="shared" si="30"/>
        <v>0.63815789473684215</v>
      </c>
      <c r="G81" s="178">
        <f t="shared" si="31"/>
        <v>6.0435546874999995</v>
      </c>
      <c r="H81" s="223">
        <f t="shared" si="32"/>
        <v>0.25181477864583329</v>
      </c>
      <c r="I81" s="454">
        <f t="shared" si="33"/>
        <v>38</v>
      </c>
      <c r="J81" s="178">
        <f t="shared" si="34"/>
        <v>0.63340206185567016</v>
      </c>
      <c r="K81" s="178">
        <f t="shared" si="35"/>
        <v>2.165083411433927</v>
      </c>
      <c r="L81" s="178">
        <f t="shared" si="36"/>
        <v>1.2276246147305772</v>
      </c>
      <c r="M81" s="454">
        <f t="shared" si="43"/>
        <v>294.74979641278225</v>
      </c>
      <c r="N81" s="203">
        <f t="shared" si="37"/>
        <v>350</v>
      </c>
      <c r="O81" s="223">
        <f t="shared" si="38"/>
        <v>0.53341465365541518</v>
      </c>
      <c r="P81" s="179">
        <f t="shared" si="39"/>
        <v>1.0338345864661656</v>
      </c>
      <c r="Q81" s="179">
        <f t="shared" si="40"/>
        <v>9.6505940628446835E-2</v>
      </c>
      <c r="R81" s="179">
        <f t="shared" si="41"/>
        <v>0.56206185567010303</v>
      </c>
    </row>
    <row r="82" spans="3:18" x14ac:dyDescent="0.2">
      <c r="C82" s="176">
        <v>76</v>
      </c>
      <c r="D82" s="6">
        <f t="shared" si="42"/>
        <v>13.8</v>
      </c>
      <c r="E82" s="454">
        <f t="shared" si="29"/>
        <v>24.25</v>
      </c>
      <c r="F82" s="223">
        <f t="shared" si="30"/>
        <v>0.63731931668856767</v>
      </c>
      <c r="G82" s="178">
        <f t="shared" si="31"/>
        <v>6.0575607752956637</v>
      </c>
      <c r="H82" s="223">
        <f t="shared" si="32"/>
        <v>0.25239836563731932</v>
      </c>
      <c r="I82" s="454">
        <f t="shared" si="33"/>
        <v>38.049999999999997</v>
      </c>
      <c r="J82" s="178">
        <f t="shared" si="34"/>
        <v>0.63193753096322158</v>
      </c>
      <c r="K82" s="178">
        <f t="shared" si="35"/>
        <v>2.1522510112515514</v>
      </c>
      <c r="L82" s="178">
        <f t="shared" si="36"/>
        <v>1.2247861424854192</v>
      </c>
      <c r="M82" s="454">
        <f t="shared" si="43"/>
        <v>296.11755940956039</v>
      </c>
      <c r="N82" s="203">
        <f t="shared" si="37"/>
        <v>350</v>
      </c>
      <c r="O82" s="223">
        <f t="shared" si="38"/>
        <v>0.53465085533752177</v>
      </c>
      <c r="P82" s="179">
        <f t="shared" si="39"/>
        <v>1.0362305237469491</v>
      </c>
      <c r="Q82" s="179">
        <f t="shared" si="40"/>
        <v>9.695376877342704E-2</v>
      </c>
      <c r="R82" s="179">
        <f t="shared" si="41"/>
        <v>0.56206185567010303</v>
      </c>
    </row>
    <row r="83" spans="3:18" x14ac:dyDescent="0.2">
      <c r="C83" s="176">
        <v>77</v>
      </c>
      <c r="D83" s="6">
        <f t="shared" si="42"/>
        <v>13.85</v>
      </c>
      <c r="E83" s="454">
        <f t="shared" si="29"/>
        <v>24.25</v>
      </c>
      <c r="F83" s="223">
        <f t="shared" si="30"/>
        <v>0.63648293963254587</v>
      </c>
      <c r="G83" s="178">
        <f t="shared" si="31"/>
        <v>6.0715301017060357</v>
      </c>
      <c r="H83" s="223">
        <f t="shared" si="32"/>
        <v>0.25298042090441814</v>
      </c>
      <c r="I83" s="454">
        <f t="shared" si="33"/>
        <v>38.1</v>
      </c>
      <c r="J83" s="178">
        <f t="shared" si="34"/>
        <v>0.63048357430104351</v>
      </c>
      <c r="K83" s="178">
        <f t="shared" si="35"/>
        <v>2.1395471474475847</v>
      </c>
      <c r="L83" s="178">
        <f t="shared" si="36"/>
        <v>1.2219681646247027</v>
      </c>
      <c r="M83" s="454">
        <f t="shared" si="43"/>
        <v>297.48488617876495</v>
      </c>
      <c r="N83" s="203">
        <f t="shared" si="37"/>
        <v>350</v>
      </c>
      <c r="O83" s="223">
        <f t="shared" si="38"/>
        <v>0.53588381239579097</v>
      </c>
      <c r="P83" s="179">
        <f t="shared" si="39"/>
        <v>1.0386201724784403</v>
      </c>
      <c r="Q83" s="179">
        <f t="shared" si="40"/>
        <v>9.740145409031109E-2</v>
      </c>
      <c r="R83" s="179">
        <f t="shared" si="41"/>
        <v>0.56206185567010303</v>
      </c>
    </row>
    <row r="84" spans="3:18" x14ac:dyDescent="0.2">
      <c r="C84" s="176">
        <v>78</v>
      </c>
      <c r="D84" s="6">
        <f t="shared" si="42"/>
        <v>13.9</v>
      </c>
      <c r="E84" s="454">
        <f t="shared" si="29"/>
        <v>24.25</v>
      </c>
      <c r="F84" s="223">
        <f t="shared" si="30"/>
        <v>0.63564875491480999</v>
      </c>
      <c r="G84" s="178">
        <f t="shared" si="31"/>
        <v>6.085462811271297</v>
      </c>
      <c r="H84" s="223">
        <f t="shared" si="32"/>
        <v>0.25356095046963739</v>
      </c>
      <c r="I84" s="454">
        <f t="shared" si="33"/>
        <v>38.15</v>
      </c>
      <c r="J84" s="178">
        <f t="shared" si="34"/>
        <v>0.62904007775873705</v>
      </c>
      <c r="K84" s="178">
        <f t="shared" si="35"/>
        <v>2.1269700470978878</v>
      </c>
      <c r="L84" s="178">
        <f t="shared" si="36"/>
        <v>1.2191704599860058</v>
      </c>
      <c r="M84" s="454">
        <f t="shared" si="43"/>
        <v>298.85176605195323</v>
      </c>
      <c r="N84" s="203">
        <f t="shared" si="37"/>
        <v>350</v>
      </c>
      <c r="O84" s="223">
        <f t="shared" si="38"/>
        <v>0.53711353758759028</v>
      </c>
      <c r="P84" s="179">
        <f t="shared" si="39"/>
        <v>1.0410035573862573</v>
      </c>
      <c r="Q84" s="179">
        <f t="shared" si="40"/>
        <v>9.7848993086074768E-2</v>
      </c>
      <c r="R84" s="179">
        <f t="shared" si="41"/>
        <v>0.56206185567010303</v>
      </c>
    </row>
    <row r="85" spans="3:18" x14ac:dyDescent="0.2">
      <c r="C85" s="176">
        <v>79</v>
      </c>
      <c r="D85" s="6">
        <f t="shared" si="42"/>
        <v>13.95</v>
      </c>
      <c r="E85" s="454">
        <f t="shared" si="29"/>
        <v>24.25</v>
      </c>
      <c r="F85" s="223">
        <f t="shared" si="30"/>
        <v>0.63481675392670156</v>
      </c>
      <c r="G85" s="178">
        <f t="shared" si="31"/>
        <v>6.0993590477748674</v>
      </c>
      <c r="H85" s="223">
        <f t="shared" si="32"/>
        <v>0.25413996032395281</v>
      </c>
      <c r="I85" s="454">
        <f t="shared" si="33"/>
        <v>38.200000000000003</v>
      </c>
      <c r="J85" s="178">
        <f t="shared" si="34"/>
        <v>0.6276069288618954</v>
      </c>
      <c r="K85" s="178">
        <f t="shared" si="35"/>
        <v>2.1145179682085362</v>
      </c>
      <c r="L85" s="178">
        <f t="shared" si="36"/>
        <v>1.2163928105776942</v>
      </c>
      <c r="M85" s="454">
        <f t="shared" si="43"/>
        <v>300.21818848128851</v>
      </c>
      <c r="N85" s="203">
        <f t="shared" si="37"/>
        <v>350</v>
      </c>
      <c r="O85" s="223">
        <f t="shared" si="38"/>
        <v>0.53834004360349463</v>
      </c>
      <c r="P85" s="179">
        <f t="shared" si="39"/>
        <v>1.0433807030665669</v>
      </c>
      <c r="Q85" s="179">
        <f t="shared" si="40"/>
        <v>9.82963823071826E-2</v>
      </c>
      <c r="R85" s="179">
        <f t="shared" si="41"/>
        <v>0.56206185567010303</v>
      </c>
    </row>
    <row r="86" spans="3:18" x14ac:dyDescent="0.2">
      <c r="C86" s="176">
        <v>80</v>
      </c>
      <c r="D86" s="6">
        <f t="shared" si="42"/>
        <v>14</v>
      </c>
      <c r="E86" s="454">
        <f t="shared" si="29"/>
        <v>24.25</v>
      </c>
      <c r="F86" s="223">
        <f t="shared" si="30"/>
        <v>0.63398692810457513</v>
      </c>
      <c r="G86" s="178">
        <f t="shared" si="31"/>
        <v>6.1132189542483664</v>
      </c>
      <c r="H86" s="223">
        <f t="shared" si="32"/>
        <v>0.25471745642701527</v>
      </c>
      <c r="I86" s="454">
        <f t="shared" si="33"/>
        <v>38.25</v>
      </c>
      <c r="J86" s="178">
        <f t="shared" si="34"/>
        <v>0.62618401674288826</v>
      </c>
      <c r="K86" s="178">
        <f t="shared" si="35"/>
        <v>2.1021891990654105</v>
      </c>
      <c r="L86" s="178">
        <f t="shared" si="36"/>
        <v>1.213635001522299</v>
      </c>
      <c r="M86" s="454">
        <f t="shared" si="43"/>
        <v>301.58414303833001</v>
      </c>
      <c r="N86" s="203">
        <f t="shared" si="37"/>
        <v>350</v>
      </c>
      <c r="O86" s="223">
        <f t="shared" si="38"/>
        <v>0.53956334306772369</v>
      </c>
      <c r="P86" s="179">
        <f t="shared" si="39"/>
        <v>1.0457516339869282</v>
      </c>
      <c r="Q86" s="179">
        <f t="shared" si="40"/>
        <v>9.8743618339191264E-2</v>
      </c>
      <c r="R86" s="179">
        <f t="shared" si="41"/>
        <v>0.56206185567010303</v>
      </c>
    </row>
    <row r="87" spans="3:18" x14ac:dyDescent="0.2">
      <c r="C87" s="176">
        <v>81</v>
      </c>
      <c r="D87" s="6">
        <f t="shared" si="42"/>
        <v>14.05</v>
      </c>
      <c r="E87" s="454">
        <f t="shared" si="29"/>
        <v>24.25</v>
      </c>
      <c r="F87" s="223">
        <f t="shared" si="30"/>
        <v>0.63315926892950392</v>
      </c>
      <c r="G87" s="178">
        <f t="shared" si="31"/>
        <v>6.1270426729765015</v>
      </c>
      <c r="H87" s="223">
        <f t="shared" si="32"/>
        <v>0.25529344470735421</v>
      </c>
      <c r="I87" s="454">
        <f t="shared" si="33"/>
        <v>38.299999999999997</v>
      </c>
      <c r="J87" s="178">
        <f t="shared" si="34"/>
        <v>0.62477123211227248</v>
      </c>
      <c r="K87" s="178">
        <f t="shared" si="35"/>
        <v>2.0899820575997725</v>
      </c>
      <c r="L87" s="178">
        <f t="shared" si="36"/>
        <v>1.2108968210011053</v>
      </c>
      <c r="M87" s="454">
        <f t="shared" si="43"/>
        <v>302.94961941283452</v>
      </c>
      <c r="N87" s="203">
        <f t="shared" si="37"/>
        <v>350</v>
      </c>
      <c r="O87" s="223">
        <f t="shared" si="38"/>
        <v>0.5407834485385733</v>
      </c>
      <c r="P87" s="179">
        <f t="shared" si="39"/>
        <v>1.0481163744871316</v>
      </c>
      <c r="Q87" s="179">
        <f t="shared" si="40"/>
        <v>9.9190697806357087E-2</v>
      </c>
      <c r="R87" s="179">
        <f t="shared" si="41"/>
        <v>0.56206185567010303</v>
      </c>
    </row>
    <row r="88" spans="3:18" x14ac:dyDescent="0.2">
      <c r="C88" s="176">
        <v>82</v>
      </c>
      <c r="D88" s="6">
        <f t="shared" si="42"/>
        <v>14.1</v>
      </c>
      <c r="E88" s="454">
        <f t="shared" si="29"/>
        <v>24.25</v>
      </c>
      <c r="F88" s="223">
        <f t="shared" si="30"/>
        <v>0.63233376792698825</v>
      </c>
      <c r="G88" s="178">
        <f t="shared" si="31"/>
        <v>6.1408303455019544</v>
      </c>
      <c r="H88" s="223">
        <f t="shared" si="32"/>
        <v>0.25586793106258143</v>
      </c>
      <c r="I88" s="454">
        <f t="shared" si="33"/>
        <v>38.35</v>
      </c>
      <c r="J88" s="178">
        <f t="shared" si="34"/>
        <v>0.62336846723081007</v>
      </c>
      <c r="K88" s="178">
        <f t="shared" si="35"/>
        <v>2.0778948907693668</v>
      </c>
      <c r="L88" s="178">
        <f t="shared" si="36"/>
        <v>1.2081780601999206</v>
      </c>
      <c r="M88" s="454">
        <f t="shared" si="43"/>
        <v>304.31460741157065</v>
      </c>
      <c r="N88" s="203">
        <f t="shared" si="37"/>
        <v>350</v>
      </c>
      <c r="O88" s="223">
        <f t="shared" si="38"/>
        <v>0.54200037250884703</v>
      </c>
      <c r="P88" s="179">
        <f t="shared" si="39"/>
        <v>1.0504749487800333</v>
      </c>
      <c r="Q88" s="179">
        <f t="shared" si="40"/>
        <v>9.9637617371248252E-2</v>
      </c>
      <c r="R88" s="179">
        <f t="shared" si="41"/>
        <v>0.56206185567010303</v>
      </c>
    </row>
    <row r="89" spans="3:18" x14ac:dyDescent="0.2">
      <c r="C89" s="176">
        <v>83</v>
      </c>
      <c r="D89" s="6">
        <f t="shared" si="42"/>
        <v>14.149999999999999</v>
      </c>
      <c r="E89" s="454">
        <f t="shared" si="29"/>
        <v>24.25</v>
      </c>
      <c r="F89" s="223">
        <f t="shared" si="30"/>
        <v>0.63151041666666674</v>
      </c>
      <c r="G89" s="178">
        <f t="shared" si="31"/>
        <v>6.1545821126302078</v>
      </c>
      <c r="H89" s="223">
        <f t="shared" si="32"/>
        <v>0.25644092135959201</v>
      </c>
      <c r="I89" s="454">
        <f t="shared" si="33"/>
        <v>38.4</v>
      </c>
      <c r="J89" s="178">
        <f t="shared" si="34"/>
        <v>0.62197561588207895</v>
      </c>
      <c r="K89" s="178">
        <f t="shared" si="35"/>
        <v>2.0659260739546088</v>
      </c>
      <c r="L89" s="178">
        <f t="shared" si="36"/>
        <v>1.205478513255988</v>
      </c>
      <c r="M89" s="454">
        <f t="shared" si="43"/>
        <v>305.67909695714593</v>
      </c>
      <c r="N89" s="203">
        <f t="shared" si="37"/>
        <v>350</v>
      </c>
      <c r="O89" s="223">
        <f t="shared" si="38"/>
        <v>0.54321412740628172</v>
      </c>
      <c r="P89" s="179">
        <f t="shared" si="39"/>
        <v>1.0528273809523809</v>
      </c>
      <c r="Q89" s="179">
        <f t="shared" si="40"/>
        <v>0.10008437373436049</v>
      </c>
      <c r="R89" s="179">
        <f t="shared" si="41"/>
        <v>0.56206185567010303</v>
      </c>
    </row>
    <row r="90" spans="3:18" x14ac:dyDescent="0.2">
      <c r="C90" s="176">
        <v>84</v>
      </c>
      <c r="D90" s="6">
        <f t="shared" si="42"/>
        <v>14.2</v>
      </c>
      <c r="E90" s="454">
        <f t="shared" si="29"/>
        <v>24.25</v>
      </c>
      <c r="F90" s="223">
        <f t="shared" si="30"/>
        <v>0.63068920676202855</v>
      </c>
      <c r="G90" s="178">
        <f t="shared" si="31"/>
        <v>6.1682981144343287</v>
      </c>
      <c r="H90" s="223">
        <f t="shared" si="32"/>
        <v>0.25701242143476372</v>
      </c>
      <c r="I90" s="454">
        <f t="shared" si="33"/>
        <v>38.450000000000003</v>
      </c>
      <c r="J90" s="178">
        <f t="shared" si="34"/>
        <v>0.62059257334566287</v>
      </c>
      <c r="K90" s="178">
        <f t="shared" si="35"/>
        <v>2.0540740103694475</v>
      </c>
      <c r="L90" s="178">
        <f t="shared" si="36"/>
        <v>1.2027979772060269</v>
      </c>
      <c r="M90" s="454">
        <f t="shared" si="43"/>
        <v>307.04307808684672</v>
      </c>
      <c r="N90" s="203">
        <f t="shared" si="37"/>
        <v>350</v>
      </c>
      <c r="O90" s="223">
        <f t="shared" si="38"/>
        <v>0.54442472559396993</v>
      </c>
      <c r="P90" s="179">
        <f t="shared" si="39"/>
        <v>1.0551736949656323</v>
      </c>
      <c r="Q90" s="179">
        <f t="shared" si="40"/>
        <v>0.10053096363373695</v>
      </c>
      <c r="R90" s="179">
        <f t="shared" si="41"/>
        <v>0.56206185567010303</v>
      </c>
    </row>
    <row r="91" spans="3:18" x14ac:dyDescent="0.2">
      <c r="C91" s="176">
        <v>85</v>
      </c>
      <c r="D91" s="6">
        <f t="shared" si="42"/>
        <v>14.25</v>
      </c>
      <c r="E91" s="454">
        <f t="shared" si="29"/>
        <v>24.25</v>
      </c>
      <c r="F91" s="223">
        <f t="shared" si="30"/>
        <v>0.62987012987012991</v>
      </c>
      <c r="G91" s="178">
        <f t="shared" si="31"/>
        <v>6.1819784902597412</v>
      </c>
      <c r="H91" s="223">
        <f t="shared" si="32"/>
        <v>0.2575824370941559</v>
      </c>
      <c r="I91" s="454">
        <f t="shared" si="33"/>
        <v>38.5</v>
      </c>
      <c r="J91" s="178">
        <f t="shared" si="34"/>
        <v>0.61921923637090559</v>
      </c>
      <c r="K91" s="178">
        <f t="shared" si="35"/>
        <v>2.0423371304864957</v>
      </c>
      <c r="L91" s="178">
        <f t="shared" si="36"/>
        <v>1.2001362519353633</v>
      </c>
      <c r="M91" s="454">
        <f t="shared" si="43"/>
        <v>308.40654095148898</v>
      </c>
      <c r="N91" s="203">
        <f t="shared" si="37"/>
        <v>350</v>
      </c>
      <c r="O91" s="223">
        <f t="shared" si="38"/>
        <v>0.54563217937078135</v>
      </c>
      <c r="P91" s="179">
        <f t="shared" si="39"/>
        <v>1.057513914656772</v>
      </c>
      <c r="Q91" s="179">
        <f t="shared" si="40"/>
        <v>0.10097738384459268</v>
      </c>
      <c r="R91" s="179">
        <f t="shared" si="41"/>
        <v>0.56206185567010303</v>
      </c>
    </row>
    <row r="92" spans="3:18" x14ac:dyDescent="0.2">
      <c r="C92" s="176">
        <v>86</v>
      </c>
      <c r="D92" s="6">
        <f t="shared" si="42"/>
        <v>14.3</v>
      </c>
      <c r="E92" s="454">
        <f t="shared" si="29"/>
        <v>24.25</v>
      </c>
      <c r="F92" s="223">
        <f t="shared" si="30"/>
        <v>0.62905317769131008</v>
      </c>
      <c r="G92" s="178">
        <f t="shared" si="31"/>
        <v>6.1956233787289241</v>
      </c>
      <c r="H92" s="223">
        <f t="shared" si="32"/>
        <v>0.25815097411370519</v>
      </c>
      <c r="I92" s="454">
        <f t="shared" si="33"/>
        <v>38.549999999999997</v>
      </c>
      <c r="J92" s="178">
        <f t="shared" si="34"/>
        <v>0.61785550315121662</v>
      </c>
      <c r="K92" s="178">
        <f t="shared" si="35"/>
        <v>2.0307138914760263</v>
      </c>
      <c r="L92" s="178">
        <f t="shared" si="36"/>
        <v>1.197493140128131</v>
      </c>
      <c r="M92" s="454">
        <f t="shared" si="43"/>
        <v>309.76947581428226</v>
      </c>
      <c r="N92" s="203">
        <f t="shared" si="37"/>
        <v>350</v>
      </c>
      <c r="O92" s="223">
        <f t="shared" si="38"/>
        <v>0.54683650097177716</v>
      </c>
      <c r="P92" s="179">
        <f t="shared" si="39"/>
        <v>1.0598480637391143</v>
      </c>
      <c r="Q92" s="179">
        <f t="shared" si="40"/>
        <v>0.10142363117894181</v>
      </c>
      <c r="R92" s="179">
        <f t="shared" si="41"/>
        <v>0.56206185567010303</v>
      </c>
    </row>
    <row r="93" spans="3:18" x14ac:dyDescent="0.2">
      <c r="C93" s="176">
        <v>87</v>
      </c>
      <c r="D93" s="6">
        <f t="shared" si="42"/>
        <v>14.35</v>
      </c>
      <c r="E93" s="454">
        <f t="shared" si="29"/>
        <v>24.25</v>
      </c>
      <c r="F93" s="223">
        <f t="shared" si="30"/>
        <v>0.62823834196891193</v>
      </c>
      <c r="G93" s="178">
        <f t="shared" si="31"/>
        <v>6.209232917746113</v>
      </c>
      <c r="H93" s="223">
        <f t="shared" si="32"/>
        <v>0.25871803823942136</v>
      </c>
      <c r="I93" s="454">
        <f t="shared" si="33"/>
        <v>38.6</v>
      </c>
      <c r="J93" s="178">
        <f t="shared" si="34"/>
        <v>0.61650127329891247</v>
      </c>
      <c r="K93" s="178">
        <f t="shared" si="35"/>
        <v>2.0192027766584588</v>
      </c>
      <c r="L93" s="178">
        <f t="shared" si="36"/>
        <v>1.1948684472185105</v>
      </c>
      <c r="M93" s="454">
        <f t="shared" si="43"/>
        <v>311.13187304970529</v>
      </c>
      <c r="N93" s="203">
        <f t="shared" si="37"/>
        <v>350</v>
      </c>
      <c r="O93" s="223">
        <f t="shared" si="38"/>
        <v>0.54803770256862527</v>
      </c>
      <c r="P93" s="179">
        <f t="shared" si="39"/>
        <v>1.0621761658031088</v>
      </c>
      <c r="Q93" s="179">
        <f t="shared" si="40"/>
        <v>0.10186970248523022</v>
      </c>
      <c r="R93" s="179">
        <f t="shared" si="41"/>
        <v>0.56206185567010303</v>
      </c>
    </row>
    <row r="94" spans="3:18" x14ac:dyDescent="0.2">
      <c r="C94" s="176">
        <v>88</v>
      </c>
      <c r="D94" s="6">
        <f t="shared" si="42"/>
        <v>14.4</v>
      </c>
      <c r="E94" s="454">
        <f t="shared" si="29"/>
        <v>24.25</v>
      </c>
      <c r="F94" s="223">
        <f t="shared" si="30"/>
        <v>0.62742561448900391</v>
      </c>
      <c r="G94" s="178">
        <f t="shared" si="31"/>
        <v>6.2228072445019409</v>
      </c>
      <c r="H94" s="223">
        <f t="shared" si="32"/>
        <v>0.25928363518758085</v>
      </c>
      <c r="I94" s="454">
        <f t="shared" si="33"/>
        <v>38.65</v>
      </c>
      <c r="J94" s="178">
        <f t="shared" si="34"/>
        <v>0.61515644782058243</v>
      </c>
      <c r="K94" s="178">
        <f t="shared" si="35"/>
        <v>2.0078022949699568</v>
      </c>
      <c r="L94" s="178">
        <f t="shared" si="36"/>
        <v>1.1922619813429844</v>
      </c>
      <c r="M94" s="454">
        <f t="shared" si="43"/>
        <v>312.49372314239349</v>
      </c>
      <c r="N94" s="203">
        <f t="shared" si="37"/>
        <v>350</v>
      </c>
      <c r="O94" s="223">
        <f t="shared" si="38"/>
        <v>0.54923579627000951</v>
      </c>
      <c r="P94" s="179">
        <f t="shared" si="39"/>
        <v>1.0644982443171318</v>
      </c>
      <c r="Q94" s="179">
        <f t="shared" si="40"/>
        <v>0.10231559464797073</v>
      </c>
      <c r="R94" s="179">
        <f t="shared" si="41"/>
        <v>0.56206185567010303</v>
      </c>
    </row>
    <row r="95" spans="3:18" x14ac:dyDescent="0.2">
      <c r="C95" s="176">
        <v>89</v>
      </c>
      <c r="D95" s="6">
        <f t="shared" si="42"/>
        <v>14.45</v>
      </c>
      <c r="E95" s="454">
        <f t="shared" si="29"/>
        <v>24.25</v>
      </c>
      <c r="F95" s="223">
        <f t="shared" si="30"/>
        <v>0.62661498708010333</v>
      </c>
      <c r="G95" s="178">
        <f t="shared" si="31"/>
        <v>6.2363464954780339</v>
      </c>
      <c r="H95" s="223">
        <f t="shared" si="32"/>
        <v>0.2598477706449181</v>
      </c>
      <c r="I95" s="454">
        <f t="shared" si="33"/>
        <v>38.700000000000003</v>
      </c>
      <c r="J95" s="178">
        <f t="shared" si="34"/>
        <v>0.61382092909296759</v>
      </c>
      <c r="K95" s="178">
        <f t="shared" si="35"/>
        <v>1.9965109804407941</v>
      </c>
      <c r="L95" s="178">
        <f t="shared" si="36"/>
        <v>1.1896735532935867</v>
      </c>
      <c r="M95" s="454">
        <f t="shared" si="43"/>
        <v>313.85501668603786</v>
      </c>
      <c r="N95" s="203">
        <f t="shared" si="37"/>
        <v>350</v>
      </c>
      <c r="O95" s="223">
        <f t="shared" si="38"/>
        <v>0.5504307941220361</v>
      </c>
      <c r="P95" s="179">
        <f t="shared" si="39"/>
        <v>1.066814322628276</v>
      </c>
      <c r="Q95" s="179">
        <f t="shared" si="40"/>
        <v>0.1027613045873827</v>
      </c>
      <c r="R95" s="179">
        <f t="shared" si="41"/>
        <v>0.56206185567010303</v>
      </c>
    </row>
    <row r="96" spans="3:18" x14ac:dyDescent="0.2">
      <c r="C96" s="176">
        <v>90</v>
      </c>
      <c r="D96" s="6">
        <f t="shared" si="42"/>
        <v>14.5</v>
      </c>
      <c r="E96" s="454">
        <f t="shared" si="29"/>
        <v>24.25</v>
      </c>
      <c r="F96" s="223">
        <f t="shared" si="30"/>
        <v>0.62580645161290327</v>
      </c>
      <c r="G96" s="178">
        <f t="shared" si="31"/>
        <v>6.2498508064516116</v>
      </c>
      <c r="H96" s="223">
        <f t="shared" si="32"/>
        <v>0.26041045026881715</v>
      </c>
      <c r="I96" s="454">
        <f t="shared" si="33"/>
        <v>38.75</v>
      </c>
      <c r="J96" s="178">
        <f t="shared" si="34"/>
        <v>0.61249462083933615</v>
      </c>
      <c r="K96" s="178">
        <f t="shared" si="35"/>
        <v>1.985327391686124</v>
      </c>
      <c r="L96" s="178">
        <f t="shared" si="36"/>
        <v>1.1871029764721155</v>
      </c>
      <c r="M96" s="454">
        <f t="shared" si="43"/>
        <v>315.21574438229578</v>
      </c>
      <c r="N96" s="203">
        <f t="shared" si="37"/>
        <v>350</v>
      </c>
      <c r="O96" s="223">
        <f t="shared" si="38"/>
        <v>0.55162270810863823</v>
      </c>
      <c r="P96" s="179">
        <f t="shared" si="39"/>
        <v>1.0691244239631339</v>
      </c>
      <c r="Q96" s="179">
        <f t="shared" si="40"/>
        <v>0.10320682925903556</v>
      </c>
      <c r="R96" s="179">
        <f t="shared" si="41"/>
        <v>0.56206185567010303</v>
      </c>
    </row>
    <row r="97" spans="3:18" x14ac:dyDescent="0.2">
      <c r="C97" s="176">
        <v>91</v>
      </c>
      <c r="D97" s="6">
        <f t="shared" si="42"/>
        <v>14.55</v>
      </c>
      <c r="E97" s="454">
        <f t="shared" si="29"/>
        <v>24.25</v>
      </c>
      <c r="F97" s="223">
        <f t="shared" si="30"/>
        <v>0.625</v>
      </c>
      <c r="G97" s="178">
        <f t="shared" si="31"/>
        <v>6.2633203124999994</v>
      </c>
      <c r="H97" s="223">
        <f t="shared" si="32"/>
        <v>0.26097167968749996</v>
      </c>
      <c r="I97" s="454">
        <f t="shared" si="33"/>
        <v>38.799999999999997</v>
      </c>
      <c r="J97" s="178">
        <f t="shared" si="34"/>
        <v>0.61117742810634845</v>
      </c>
      <c r="K97" s="178">
        <f t="shared" si="35"/>
        <v>1.9742501114088229</v>
      </c>
      <c r="L97" s="178">
        <f t="shared" si="36"/>
        <v>1.184550066845294</v>
      </c>
      <c r="M97" s="454">
        <f t="shared" si="43"/>
        <v>316.57589703971229</v>
      </c>
      <c r="N97" s="203">
        <f t="shared" si="37"/>
        <v>350</v>
      </c>
      <c r="O97" s="223">
        <f t="shared" si="38"/>
        <v>0.55281155015197569</v>
      </c>
      <c r="P97" s="179">
        <f t="shared" si="39"/>
        <v>1.0714285714285714</v>
      </c>
      <c r="Q97" s="179">
        <f t="shared" si="40"/>
        <v>0.10365216565349543</v>
      </c>
      <c r="R97" s="179">
        <f t="shared" si="41"/>
        <v>0.56206185567010303</v>
      </c>
    </row>
    <row r="98" spans="3:18" x14ac:dyDescent="0.2">
      <c r="C98" s="176">
        <v>92</v>
      </c>
      <c r="D98" s="6">
        <f t="shared" si="42"/>
        <v>14.600000000000001</v>
      </c>
      <c r="E98" s="454">
        <f t="shared" si="29"/>
        <v>24.25</v>
      </c>
      <c r="F98" s="223">
        <f t="shared" si="30"/>
        <v>0.62419562419562413</v>
      </c>
      <c r="G98" s="178">
        <f t="shared" si="31"/>
        <v>6.2767551480051482</v>
      </c>
      <c r="H98" s="223">
        <f t="shared" si="32"/>
        <v>0.26153146450021453</v>
      </c>
      <c r="I98" s="454">
        <f t="shared" si="33"/>
        <v>38.85</v>
      </c>
      <c r="J98" s="178">
        <f t="shared" si="34"/>
        <v>0.60986925724139474</v>
      </c>
      <c r="K98" s="178">
        <f t="shared" si="35"/>
        <v>1.9632777459140784</v>
      </c>
      <c r="L98" s="178">
        <f t="shared" si="36"/>
        <v>1.1820146429008473</v>
      </c>
      <c r="M98" s="454">
        <f t="shared" si="43"/>
        <v>317.93546557265449</v>
      </c>
      <c r="N98" s="203">
        <f t="shared" si="37"/>
        <v>350</v>
      </c>
      <c r="O98" s="223">
        <f t="shared" si="38"/>
        <v>0.55399733211283375</v>
      </c>
      <c r="P98" s="179">
        <f t="shared" si="39"/>
        <v>1.0737267880125023</v>
      </c>
      <c r="Q98" s="179">
        <f t="shared" si="40"/>
        <v>0.10409731079597648</v>
      </c>
      <c r="R98" s="179">
        <f t="shared" si="41"/>
        <v>0.56206185567010303</v>
      </c>
    </row>
    <row r="99" spans="3:18" x14ac:dyDescent="0.2">
      <c r="C99" s="176">
        <v>93</v>
      </c>
      <c r="D99" s="6">
        <f t="shared" si="42"/>
        <v>14.65</v>
      </c>
      <c r="E99" s="454">
        <f t="shared" si="29"/>
        <v>24.25</v>
      </c>
      <c r="F99" s="223">
        <f t="shared" si="30"/>
        <v>0.62339331619537275</v>
      </c>
      <c r="G99" s="178">
        <f t="shared" si="31"/>
        <v>6.2901554466580976</v>
      </c>
      <c r="H99" s="223">
        <f t="shared" si="32"/>
        <v>0.26208981027742073</v>
      </c>
      <c r="I99" s="454">
        <f t="shared" si="33"/>
        <v>38.9</v>
      </c>
      <c r="J99" s="178">
        <f t="shared" si="34"/>
        <v>0.60857001587039972</v>
      </c>
      <c r="K99" s="178">
        <f t="shared" si="35"/>
        <v>1.9524089246354119</v>
      </c>
      <c r="L99" s="178">
        <f t="shared" si="36"/>
        <v>1.179496525604486</v>
      </c>
      <c r="M99" s="454">
        <f t="shared" si="43"/>
        <v>319.29444100025495</v>
      </c>
      <c r="N99" s="203">
        <f t="shared" si="37"/>
        <v>350</v>
      </c>
      <c r="O99" s="223">
        <f t="shared" si="38"/>
        <v>0.55518006579101586</v>
      </c>
      <c r="P99" s="179">
        <f t="shared" si="39"/>
        <v>1.0760190965846492</v>
      </c>
      <c r="Q99" s="179">
        <f t="shared" si="40"/>
        <v>0.10454226174599464</v>
      </c>
      <c r="R99" s="179">
        <f t="shared" si="41"/>
        <v>0.56206185567010303</v>
      </c>
    </row>
    <row r="100" spans="3:18" x14ac:dyDescent="0.2">
      <c r="C100" s="176">
        <v>94</v>
      </c>
      <c r="D100" s="6">
        <f t="shared" si="42"/>
        <v>14.7</v>
      </c>
      <c r="E100" s="454">
        <f t="shared" si="29"/>
        <v>24.25</v>
      </c>
      <c r="F100" s="223">
        <f t="shared" si="30"/>
        <v>0.6225930680359435</v>
      </c>
      <c r="G100" s="178">
        <f t="shared" si="31"/>
        <v>6.3035213414634139</v>
      </c>
      <c r="H100" s="223">
        <f t="shared" si="32"/>
        <v>0.2626467225609756</v>
      </c>
      <c r="I100" s="454">
        <f t="shared" si="33"/>
        <v>38.950000000000003</v>
      </c>
      <c r="J100" s="178">
        <f t="shared" si="34"/>
        <v>0.60727961287607835</v>
      </c>
      <c r="K100" s="178">
        <f t="shared" si="35"/>
        <v>1.9416422996718152</v>
      </c>
      <c r="L100" s="178">
        <f t="shared" si="36"/>
        <v>1.1769955383577602</v>
      </c>
      <c r="M100" s="454">
        <f t="shared" si="43"/>
        <v>320.65281444536771</v>
      </c>
      <c r="N100" s="203">
        <f t="shared" si="37"/>
        <v>350</v>
      </c>
      <c r="O100" s="223">
        <f t="shared" si="38"/>
        <v>0.55635976292573674</v>
      </c>
      <c r="P100" s="179">
        <f t="shared" si="39"/>
        <v>1.0783055198973042</v>
      </c>
      <c r="Q100" s="179">
        <f t="shared" si="40"/>
        <v>0.10498701559702604</v>
      </c>
      <c r="R100" s="179">
        <f t="shared" si="41"/>
        <v>0.56206185567010303</v>
      </c>
    </row>
    <row r="101" spans="3:18" x14ac:dyDescent="0.2">
      <c r="C101" s="176">
        <v>95</v>
      </c>
      <c r="D101" s="6">
        <f t="shared" si="42"/>
        <v>14.75</v>
      </c>
      <c r="E101" s="454">
        <f t="shared" si="29"/>
        <v>24.25</v>
      </c>
      <c r="F101" s="223">
        <f t="shared" si="30"/>
        <v>0.62179487179487181</v>
      </c>
      <c r="G101" s="178">
        <f t="shared" si="31"/>
        <v>6.3168529647435898</v>
      </c>
      <c r="H101" s="223">
        <f t="shared" si="32"/>
        <v>0.26320220686431622</v>
      </c>
      <c r="I101" s="454">
        <f t="shared" si="33"/>
        <v>39</v>
      </c>
      <c r="J101" s="178">
        <f t="shared" si="34"/>
        <v>0.60599795837663362</v>
      </c>
      <c r="K101" s="178">
        <f t="shared" si="35"/>
        <v>1.9309765453357137</v>
      </c>
      <c r="L101" s="178">
        <f t="shared" si="36"/>
        <v>1.1745115069567742</v>
      </c>
      <c r="M101" s="454">
        <f t="shared" si="43"/>
        <v>322.01057713353447</v>
      </c>
      <c r="N101" s="203">
        <f t="shared" si="37"/>
        <v>350</v>
      </c>
      <c r="O101" s="223">
        <f t="shared" si="38"/>
        <v>0.55753643519600971</v>
      </c>
      <c r="P101" s="179">
        <f t="shared" si="39"/>
        <v>1.0805860805860805</v>
      </c>
      <c r="Q101" s="179">
        <f t="shared" si="40"/>
        <v>0.1054315694761685</v>
      </c>
      <c r="R101" s="179">
        <f t="shared" si="41"/>
        <v>0.56206185567010303</v>
      </c>
    </row>
    <row r="102" spans="3:18" x14ac:dyDescent="0.2">
      <c r="C102" s="176">
        <v>96</v>
      </c>
      <c r="D102" s="6">
        <f t="shared" si="42"/>
        <v>14.8</v>
      </c>
      <c r="E102" s="454">
        <f t="shared" si="29"/>
        <v>24.25</v>
      </c>
      <c r="F102" s="223">
        <f t="shared" si="30"/>
        <v>0.62099871959026898</v>
      </c>
      <c r="G102" s="178">
        <f t="shared" ref="G102:G106" si="44">F102*D102*Isw_max*0.5*Efficiency</f>
        <v>6.3301504481434074</v>
      </c>
      <c r="H102" s="223">
        <f t="shared" ref="H102:H106" si="45">G102/Vout</f>
        <v>0.26375626867264196</v>
      </c>
      <c r="I102" s="454">
        <f t="shared" si="33"/>
        <v>39.049999999999997</v>
      </c>
      <c r="J102" s="178">
        <f t="shared" si="34"/>
        <v>0.6047249637048876</v>
      </c>
      <c r="K102" s="178">
        <f t="shared" ref="K102:K106" si="46">L*J102/D102*1000000</f>
        <v>1.9204103577114671</v>
      </c>
      <c r="L102" s="178">
        <f t="shared" si="36"/>
        <v>1.1720442595517409</v>
      </c>
      <c r="M102" s="454">
        <f t="shared" si="43"/>
        <v>323.36772039196177</v>
      </c>
      <c r="N102" s="203">
        <f t="shared" si="37"/>
        <v>350</v>
      </c>
      <c r="O102" s="223">
        <f t="shared" ref="O102:O106" si="47">1/((N102*1000*L)*(1/D102+1/E102))</f>
        <v>0.55871009422103224</v>
      </c>
      <c r="P102" s="179">
        <f t="shared" ref="P102:P106" si="48">L*O102/E102*1000000</f>
        <v>1.0828608011706602</v>
      </c>
      <c r="Q102" s="179">
        <f t="shared" ref="Q102:Q106" si="49">0.5*P102*O102*Nps*N102/1000</f>
        <v>0.10587592054380635</v>
      </c>
      <c r="R102" s="179">
        <f t="shared" si="41"/>
        <v>0.56206185567010303</v>
      </c>
    </row>
    <row r="103" spans="3:18" x14ac:dyDescent="0.2">
      <c r="C103" s="176">
        <v>97</v>
      </c>
      <c r="D103" s="6">
        <f t="shared" ref="D103:D106" si="50">C103/100*(VIN_max-VIN_min)+VIN_min</f>
        <v>14.85</v>
      </c>
      <c r="E103" s="454">
        <f t="shared" si="29"/>
        <v>24.25</v>
      </c>
      <c r="F103" s="223">
        <f t="shared" si="30"/>
        <v>0.62020460358056262</v>
      </c>
      <c r="G103" s="178">
        <f t="shared" si="44"/>
        <v>6.3434139226342703</v>
      </c>
      <c r="H103" s="223">
        <f t="shared" si="45"/>
        <v>0.2643089134430946</v>
      </c>
      <c r="I103" s="454">
        <f t="shared" si="33"/>
        <v>39.1</v>
      </c>
      <c r="J103" s="178">
        <f t="shared" si="34"/>
        <v>0.603460541387834</v>
      </c>
      <c r="K103" s="178">
        <f t="shared" si="46"/>
        <v>1.9099424542241208</v>
      </c>
      <c r="L103" s="178">
        <f t="shared" si="36"/>
        <v>1.1695936266073481</v>
      </c>
      <c r="M103" s="454">
        <f t="shared" si="43"/>
        <v>324.72423564850777</v>
      </c>
      <c r="N103" s="203">
        <f t="shared" si="37"/>
        <v>350</v>
      </c>
      <c r="O103" s="223">
        <f t="shared" si="47"/>
        <v>0.55988075156056882</v>
      </c>
      <c r="P103" s="179">
        <f t="shared" si="48"/>
        <v>1.0851297040555354</v>
      </c>
      <c r="Q103" s="179">
        <f t="shared" si="49"/>
        <v>0.10632006599327939</v>
      </c>
      <c r="R103" s="179">
        <f t="shared" si="41"/>
        <v>0.56206185567010303</v>
      </c>
    </row>
    <row r="104" spans="3:18" x14ac:dyDescent="0.2">
      <c r="C104" s="176">
        <v>98</v>
      </c>
      <c r="D104" s="6">
        <f t="shared" si="50"/>
        <v>14.9</v>
      </c>
      <c r="E104" s="454">
        <f t="shared" si="29"/>
        <v>24.25</v>
      </c>
      <c r="F104" s="223">
        <f t="shared" si="30"/>
        <v>0.61941251596424007</v>
      </c>
      <c r="G104" s="178">
        <f t="shared" si="44"/>
        <v>6.3566435185185188</v>
      </c>
      <c r="H104" s="223">
        <f t="shared" si="45"/>
        <v>0.26486014660493828</v>
      </c>
      <c r="I104" s="454">
        <f t="shared" si="33"/>
        <v>39.15</v>
      </c>
      <c r="J104" s="178">
        <f t="shared" si="34"/>
        <v>0.60220460512659912</v>
      </c>
      <c r="K104" s="178">
        <f t="shared" si="46"/>
        <v>1.8995715732181315</v>
      </c>
      <c r="L104" s="178">
        <f t="shared" si="36"/>
        <v>1.1671594408639241</v>
      </c>
      <c r="M104" s="454">
        <f t="shared" si="43"/>
        <v>326.08011443068261</v>
      </c>
      <c r="N104" s="203">
        <f t="shared" si="37"/>
        <v>350</v>
      </c>
      <c r="O104" s="223">
        <f t="shared" si="47"/>
        <v>0.56104841871532996</v>
      </c>
      <c r="P104" s="179">
        <f t="shared" si="48"/>
        <v>1.0873928115307425</v>
      </c>
      <c r="Q104" s="179">
        <f t="shared" si="49"/>
        <v>0.10676400305055447</v>
      </c>
      <c r="R104" s="179">
        <f t="shared" si="41"/>
        <v>0.56206185567010303</v>
      </c>
    </row>
    <row r="105" spans="3:18" x14ac:dyDescent="0.2">
      <c r="C105" s="176">
        <v>99</v>
      </c>
      <c r="D105" s="6">
        <f t="shared" si="50"/>
        <v>14.95</v>
      </c>
      <c r="E105" s="454">
        <f t="shared" si="29"/>
        <v>24.25</v>
      </c>
      <c r="F105" s="223">
        <f t="shared" si="30"/>
        <v>0.61862244897959184</v>
      </c>
      <c r="G105" s="178">
        <f t="shared" si="44"/>
        <v>6.3698393654336725</v>
      </c>
      <c r="H105" s="223">
        <f t="shared" si="45"/>
        <v>0.26540997355973633</v>
      </c>
      <c r="I105" s="454">
        <f t="shared" si="33"/>
        <v>39.200000000000003</v>
      </c>
      <c r="J105" s="178">
        <f t="shared" si="34"/>
        <v>0.60095706977681085</v>
      </c>
      <c r="K105" s="178">
        <f t="shared" si="46"/>
        <v>1.8892964735458266</v>
      </c>
      <c r="L105" s="178">
        <f t="shared" si="36"/>
        <v>1.1647415372993859</v>
      </c>
      <c r="M105" s="454">
        <f t="shared" si="43"/>
        <v>327.43534836465494</v>
      </c>
      <c r="N105" s="203">
        <f t="shared" si="37"/>
        <v>350</v>
      </c>
      <c r="O105" s="223">
        <f t="shared" si="47"/>
        <v>0.5622131071273494</v>
      </c>
      <c r="P105" s="179">
        <f t="shared" si="48"/>
        <v>1.0896501457725947</v>
      </c>
      <c r="Q105" s="179">
        <f t="shared" si="49"/>
        <v>0.10720772897390143</v>
      </c>
      <c r="R105" s="179">
        <f t="shared" si="41"/>
        <v>0.56206185567010303</v>
      </c>
    </row>
    <row r="106" spans="3:18" x14ac:dyDescent="0.2">
      <c r="C106" s="176">
        <v>100</v>
      </c>
      <c r="D106" s="6">
        <f t="shared" si="50"/>
        <v>15</v>
      </c>
      <c r="E106" s="454">
        <f t="shared" si="29"/>
        <v>24.25</v>
      </c>
      <c r="F106" s="223">
        <f t="shared" si="30"/>
        <v>0.61783439490445857</v>
      </c>
      <c r="G106" s="178">
        <f t="shared" si="44"/>
        <v>6.3830015923566883</v>
      </c>
      <c r="H106" s="223">
        <f t="shared" si="45"/>
        <v>0.26595839968152868</v>
      </c>
      <c r="I106" s="454">
        <f t="shared" si="33"/>
        <v>39.25</v>
      </c>
      <c r="J106" s="178">
        <f t="shared" si="34"/>
        <v>0.5997178513293544</v>
      </c>
      <c r="K106" s="178">
        <f t="shared" si="46"/>
        <v>1.8791159341653103</v>
      </c>
      <c r="L106" s="178">
        <f t="shared" si="36"/>
        <v>1.1623397530919446</v>
      </c>
      <c r="M106" s="454">
        <f t="shared" si="43"/>
        <v>328.78992917427212</v>
      </c>
      <c r="N106" s="203">
        <f t="shared" si="37"/>
        <v>350</v>
      </c>
      <c r="O106" s="223">
        <f t="shared" si="47"/>
        <v>0.56337482818035733</v>
      </c>
      <c r="P106" s="179">
        <f t="shared" si="48"/>
        <v>1.0919017288444037</v>
      </c>
      <c r="Q106" s="179">
        <f t="shared" si="49"/>
        <v>0.10765124105357142</v>
      </c>
      <c r="R106" s="179">
        <f t="shared" si="41"/>
        <v>0.56206185567010303</v>
      </c>
    </row>
  </sheetData>
  <mergeCells count="1">
    <mergeCell ref="F4:O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33"/>
  <sheetViews>
    <sheetView showWhiteSpace="0" zoomScaleNormal="100" workbookViewId="0">
      <pane ySplit="5" topLeftCell="A12" activePane="bottomLeft" state="frozen"/>
      <selection pane="bottomLeft" activeCell="B22" sqref="B22"/>
    </sheetView>
  </sheetViews>
  <sheetFormatPr defaultColWidth="9.140625" defaultRowHeight="12.75" x14ac:dyDescent="0.2"/>
  <cols>
    <col min="1" max="1" width="15.7109375" style="176" customWidth="1"/>
    <col min="2" max="2" width="11.5703125" style="176" customWidth="1"/>
    <col min="3" max="3" width="9.140625" style="176"/>
    <col min="4" max="4" width="12.42578125" style="176" bestFit="1" customWidth="1"/>
    <col min="5" max="5" width="51.42578125" style="176" customWidth="1"/>
    <col min="6" max="6" width="13.42578125" style="176" customWidth="1"/>
    <col min="7" max="7" width="10" style="176" customWidth="1"/>
    <col min="8" max="8" width="6.85546875" style="176" customWidth="1"/>
    <col min="9" max="9" width="12.42578125" style="176" bestFit="1" customWidth="1"/>
    <col min="10" max="10" width="9.140625" style="222" customWidth="1"/>
    <col min="11" max="11" width="8.85546875"/>
    <col min="13" max="13" width="10.85546875" customWidth="1"/>
    <col min="14" max="14" width="12" style="176" customWidth="1"/>
    <col min="15" max="15" width="12.7109375" style="222" customWidth="1"/>
    <col min="16" max="16" width="11.42578125" style="222" customWidth="1"/>
    <col min="17" max="17" width="12.42578125" style="222" customWidth="1"/>
    <col min="18" max="19" width="10.5703125" style="203" customWidth="1"/>
    <col min="20" max="20" width="10" style="203" customWidth="1"/>
    <col min="21" max="21" width="10.5703125" style="203" customWidth="1"/>
    <col min="22" max="22" width="8.42578125" style="222" customWidth="1"/>
    <col min="23" max="23" width="9.28515625" style="222" customWidth="1"/>
    <col min="24" max="24" width="9.42578125" style="176" customWidth="1"/>
    <col min="25" max="25" width="9.42578125" style="222" customWidth="1"/>
    <col min="26" max="26" width="8.28515625" style="223" customWidth="1"/>
    <col min="27" max="27" width="9.5703125" style="222" customWidth="1"/>
    <col min="28" max="28" width="9.42578125" style="222" bestFit="1" customWidth="1"/>
    <col min="29" max="29" width="8.5703125" style="222" customWidth="1"/>
    <col min="30" max="30" width="9.7109375" style="224" customWidth="1"/>
    <col min="31" max="31" width="9.140625" style="224" customWidth="1"/>
    <col min="32" max="32" width="8.140625" style="222" customWidth="1"/>
    <col min="33" max="33" width="10.28515625" style="222" customWidth="1"/>
    <col min="34" max="34" width="9.42578125" style="222" customWidth="1"/>
    <col min="35" max="35" width="8.85546875"/>
    <col min="36" max="36" width="9.7109375" style="222" customWidth="1"/>
    <col min="37" max="37" width="11.5703125" style="222" customWidth="1"/>
    <col min="38" max="38" width="10.140625" style="222" customWidth="1"/>
    <col min="39" max="39" width="11.140625" style="222" customWidth="1"/>
    <col min="40" max="40" width="9.140625" style="222"/>
    <col min="41" max="41" width="10.28515625" style="222" customWidth="1"/>
    <col min="42" max="42" width="9.85546875" style="222" customWidth="1"/>
    <col min="43" max="43" width="9.7109375" style="222" customWidth="1"/>
    <col min="44" max="44" width="10.28515625" style="222" customWidth="1"/>
    <col min="45" max="45" width="10.140625" style="222" customWidth="1"/>
    <col min="46" max="46" width="10.42578125" style="222" customWidth="1"/>
    <col min="47" max="47" width="11.28515625" style="222" customWidth="1"/>
    <col min="48" max="48" width="11.7109375" style="222" customWidth="1"/>
    <col min="49" max="49" width="10.42578125" style="222" customWidth="1"/>
    <col min="50" max="50" width="11.42578125" style="222" customWidth="1"/>
    <col min="51" max="51" width="10.140625" style="222" customWidth="1"/>
    <col min="52" max="52" width="10" style="178" bestFit="1" customWidth="1"/>
    <col min="53" max="55" width="12.7109375" style="351" customWidth="1"/>
    <col min="56" max="56" width="14" style="351" customWidth="1"/>
    <col min="57" max="57" width="12.85546875" style="351" customWidth="1"/>
    <col min="58" max="58" width="10.42578125" style="351" customWidth="1"/>
    <col min="59" max="59" width="9" style="351" customWidth="1"/>
    <col min="60" max="60" width="8.85546875" style="351" customWidth="1"/>
    <col min="61" max="61" width="10.85546875" style="351" customWidth="1"/>
    <col min="62" max="62" width="11.140625" style="351" customWidth="1"/>
    <col min="63" max="64" width="9.140625" style="351"/>
    <col min="65" max="65" width="8.85546875" style="178" customWidth="1"/>
    <col min="66" max="66" width="9.140625" style="223"/>
    <col min="67" max="67" width="12.5703125" style="176" customWidth="1"/>
    <col min="68" max="68" width="13.5703125" style="178" customWidth="1"/>
    <col min="69" max="69" width="12.7109375" style="203" customWidth="1"/>
    <col min="70" max="70" width="3.7109375" style="176" customWidth="1"/>
    <col min="71" max="71" width="12.42578125" style="176" bestFit="1" customWidth="1"/>
    <col min="72" max="72" width="3.5703125" style="176" customWidth="1"/>
    <col min="73" max="73" width="9.140625" style="178"/>
    <col min="74" max="74" width="11.140625" style="178" customWidth="1"/>
    <col min="75" max="75" width="9.140625" style="178"/>
    <col min="76" max="76" width="4.7109375" style="176" customWidth="1"/>
    <col min="77" max="77" width="3.7109375" style="176" customWidth="1"/>
    <col min="78" max="78" width="12.42578125" style="176" customWidth="1"/>
    <col min="79" max="79" width="11.85546875" style="176" customWidth="1"/>
    <col min="80" max="80" width="11.5703125" style="176" customWidth="1"/>
    <col min="81" max="81" width="11.7109375" style="176" customWidth="1"/>
    <col min="82" max="82" width="9.140625" style="176"/>
    <col min="83" max="83" width="9.140625" style="176" customWidth="1"/>
    <col min="84" max="16384" width="9.140625" style="176"/>
  </cols>
  <sheetData>
    <row r="1" spans="1:81" x14ac:dyDescent="0.2">
      <c r="A1" s="693" t="s">
        <v>519</v>
      </c>
      <c r="B1" s="693"/>
      <c r="C1" s="693"/>
      <c r="D1" s="693"/>
      <c r="E1" s="693"/>
    </row>
    <row r="2" spans="1:81" ht="15.75" x14ac:dyDescent="0.2">
      <c r="A2" s="693"/>
      <c r="B2" s="693"/>
      <c r="C2" s="693"/>
      <c r="D2" s="693"/>
      <c r="E2" s="693"/>
      <c r="G2" s="694" t="s">
        <v>22</v>
      </c>
      <c r="H2" s="694"/>
      <c r="AF2" s="222">
        <v>1.9257738538542499E-2</v>
      </c>
      <c r="AG2" s="222">
        <v>7.417209872377299E-4</v>
      </c>
      <c r="AH2" s="222">
        <v>1.2403450565440797E-3</v>
      </c>
      <c r="AI2">
        <v>20</v>
      </c>
      <c r="AJ2" s="222">
        <v>7.1523178807947021</v>
      </c>
      <c r="AK2" s="222">
        <v>0</v>
      </c>
      <c r="AL2" s="222">
        <v>8.3629954314142624E-4</v>
      </c>
      <c r="AM2" s="222">
        <v>1.5780205303791562E-3</v>
      </c>
      <c r="AO2" s="274" t="e">
        <f>Ifb</f>
        <v>#NAME?</v>
      </c>
    </row>
    <row r="3" spans="1:81" ht="13.5" thickBot="1" x14ac:dyDescent="0.25">
      <c r="A3" s="693"/>
      <c r="B3" s="693"/>
      <c r="C3" s="693"/>
      <c r="D3" s="693"/>
      <c r="E3" s="693"/>
    </row>
    <row r="4" spans="1:81" ht="13.5" thickBot="1" x14ac:dyDescent="0.25">
      <c r="A4" s="695"/>
      <c r="B4" s="695"/>
      <c r="C4" s="695"/>
      <c r="D4" s="695"/>
      <c r="E4" s="695"/>
      <c r="H4" s="226" t="s">
        <v>23</v>
      </c>
      <c r="I4" s="227"/>
      <c r="J4" s="228"/>
      <c r="K4" s="696" t="s">
        <v>190</v>
      </c>
      <c r="L4" s="689"/>
      <c r="M4" s="690"/>
      <c r="N4" s="690"/>
      <c r="O4" s="690"/>
      <c r="P4" s="689"/>
      <c r="Q4" s="689"/>
      <c r="R4" s="690"/>
      <c r="S4" s="690"/>
      <c r="T4" s="690"/>
      <c r="U4" s="692"/>
      <c r="V4" s="229" t="s">
        <v>191</v>
      </c>
      <c r="W4" s="230"/>
      <c r="X4" s="231"/>
      <c r="Y4" s="232"/>
      <c r="Z4" s="233" t="s">
        <v>14</v>
      </c>
      <c r="AA4" s="234"/>
      <c r="AB4" s="228"/>
      <c r="AC4" s="235" t="s">
        <v>28</v>
      </c>
      <c r="AD4" s="236"/>
      <c r="AE4" s="237"/>
      <c r="AF4" s="229" t="s">
        <v>192</v>
      </c>
      <c r="AG4" s="230"/>
      <c r="AH4" s="230"/>
      <c r="AI4" s="453"/>
      <c r="AJ4" s="453"/>
      <c r="AK4" s="230"/>
      <c r="AL4" s="230"/>
      <c r="AM4" s="228"/>
      <c r="AN4" s="238" t="s">
        <v>193</v>
      </c>
      <c r="AO4" s="239"/>
      <c r="AP4" s="239"/>
      <c r="AQ4" s="462" t="s">
        <v>194</v>
      </c>
      <c r="AR4" s="463"/>
      <c r="AS4" s="463"/>
      <c r="AT4" s="239"/>
      <c r="AU4" s="240"/>
      <c r="AV4" s="241"/>
      <c r="AW4" s="242"/>
      <c r="AX4" s="229" t="s">
        <v>180</v>
      </c>
      <c r="AY4" s="230"/>
      <c r="AZ4" s="231"/>
      <c r="BA4" s="352"/>
      <c r="BB4" s="352"/>
      <c r="BC4" s="352"/>
      <c r="BD4" s="352"/>
      <c r="BE4" s="352"/>
      <c r="BF4" s="352"/>
      <c r="BG4" s="352"/>
      <c r="BH4" s="352"/>
      <c r="BI4" s="352"/>
      <c r="BJ4" s="352"/>
      <c r="BK4" s="352"/>
      <c r="BL4" s="352"/>
      <c r="BM4" s="345"/>
      <c r="BN4" s="349"/>
      <c r="BO4" s="231"/>
      <c r="BP4" s="347"/>
      <c r="BQ4" s="459"/>
      <c r="BR4" s="460"/>
      <c r="BS4" s="460"/>
      <c r="BT4" s="460"/>
      <c r="BU4" s="460"/>
      <c r="BV4" s="460"/>
      <c r="BW4" s="460"/>
      <c r="BX4" s="460"/>
      <c r="BY4" s="460"/>
      <c r="BZ4" s="460"/>
      <c r="CA4" s="460"/>
      <c r="CB4" s="460"/>
      <c r="CC4" s="461"/>
    </row>
    <row r="5" spans="1:81" ht="78" customHeight="1" thickBot="1" x14ac:dyDescent="0.45">
      <c r="A5" s="243" t="s">
        <v>42</v>
      </c>
      <c r="B5" s="244"/>
      <c r="C5" s="244"/>
      <c r="D5" s="245"/>
      <c r="E5" s="246"/>
      <c r="F5" s="195"/>
      <c r="G5" s="195"/>
      <c r="H5" s="247" t="s">
        <v>25</v>
      </c>
      <c r="I5" s="248" t="s">
        <v>195</v>
      </c>
      <c r="J5" s="249" t="s">
        <v>196</v>
      </c>
      <c r="K5" s="257" t="s">
        <v>326</v>
      </c>
      <c r="L5" s="250" t="s">
        <v>48</v>
      </c>
      <c r="M5" s="250" t="s">
        <v>327</v>
      </c>
      <c r="N5" s="455" t="s">
        <v>197</v>
      </c>
      <c r="O5" s="543" t="s">
        <v>415</v>
      </c>
      <c r="P5" s="543" t="s">
        <v>416</v>
      </c>
      <c r="Q5" s="543" t="s">
        <v>417</v>
      </c>
      <c r="R5" s="251" t="s">
        <v>198</v>
      </c>
      <c r="S5" s="252" t="s">
        <v>199</v>
      </c>
      <c r="T5" s="252" t="s">
        <v>200</v>
      </c>
      <c r="U5" s="251" t="s">
        <v>331</v>
      </c>
      <c r="V5" s="253" t="s">
        <v>201</v>
      </c>
      <c r="W5" s="250" t="s">
        <v>202</v>
      </c>
      <c r="X5" s="248" t="s">
        <v>203</v>
      </c>
      <c r="Y5" s="249" t="s">
        <v>204</v>
      </c>
      <c r="Z5" s="254" t="s">
        <v>201</v>
      </c>
      <c r="AA5" s="250" t="s">
        <v>205</v>
      </c>
      <c r="AB5" s="249" t="s">
        <v>206</v>
      </c>
      <c r="AC5" s="253" t="s">
        <v>201</v>
      </c>
      <c r="AD5" s="255" t="s">
        <v>207</v>
      </c>
      <c r="AE5" s="256" t="s">
        <v>208</v>
      </c>
      <c r="AF5" s="253" t="s">
        <v>201</v>
      </c>
      <c r="AG5" s="250" t="s">
        <v>209</v>
      </c>
      <c r="AH5" s="250" t="s">
        <v>210</v>
      </c>
      <c r="AI5" s="250" t="s">
        <v>328</v>
      </c>
      <c r="AJ5" s="250" t="s">
        <v>325</v>
      </c>
      <c r="AK5" s="250" t="s">
        <v>211</v>
      </c>
      <c r="AL5" s="257" t="s">
        <v>212</v>
      </c>
      <c r="AM5" s="249" t="s">
        <v>213</v>
      </c>
      <c r="AN5" s="258" t="s">
        <v>201</v>
      </c>
      <c r="AO5" s="259" t="s">
        <v>214</v>
      </c>
      <c r="AP5" s="259" t="s">
        <v>215</v>
      </c>
      <c r="AQ5" s="259" t="s">
        <v>216</v>
      </c>
      <c r="AR5" s="259" t="s">
        <v>217</v>
      </c>
      <c r="AS5" s="260" t="s">
        <v>218</v>
      </c>
      <c r="AT5" s="258" t="s">
        <v>219</v>
      </c>
      <c r="AU5" s="258" t="s">
        <v>220</v>
      </c>
      <c r="AV5" s="258" t="s">
        <v>221</v>
      </c>
      <c r="AW5" s="261" t="s">
        <v>222</v>
      </c>
      <c r="AX5" s="253" t="s">
        <v>223</v>
      </c>
      <c r="AY5" s="250" t="s">
        <v>224</v>
      </c>
      <c r="AZ5" s="262" t="s">
        <v>225</v>
      </c>
      <c r="BA5" s="353" t="s">
        <v>226</v>
      </c>
      <c r="BB5" s="353" t="s">
        <v>227</v>
      </c>
      <c r="BC5" s="353" t="s">
        <v>228</v>
      </c>
      <c r="BD5" s="353" t="s">
        <v>229</v>
      </c>
      <c r="BE5" s="353" t="s">
        <v>230</v>
      </c>
      <c r="BF5" s="353" t="s">
        <v>231</v>
      </c>
      <c r="BG5" s="353" t="s">
        <v>232</v>
      </c>
      <c r="BH5" s="354" t="s">
        <v>233</v>
      </c>
      <c r="BI5" s="355" t="s">
        <v>234</v>
      </c>
      <c r="BJ5" s="356" t="s">
        <v>235</v>
      </c>
      <c r="BK5" s="357" t="s">
        <v>236</v>
      </c>
      <c r="BL5" s="356" t="s">
        <v>282</v>
      </c>
      <c r="BM5" s="346" t="s">
        <v>237</v>
      </c>
      <c r="BN5" s="350" t="s">
        <v>238</v>
      </c>
      <c r="BO5" s="263" t="s">
        <v>239</v>
      </c>
      <c r="BP5" s="348" t="s">
        <v>239</v>
      </c>
      <c r="BQ5" s="264" t="s">
        <v>240</v>
      </c>
      <c r="BR5" s="265"/>
      <c r="BS5" s="266" t="s">
        <v>241</v>
      </c>
      <c r="BT5" s="265"/>
      <c r="BU5" s="360" t="s">
        <v>284</v>
      </c>
      <c r="BV5" s="361" t="s">
        <v>285</v>
      </c>
      <c r="BW5" s="458" t="s">
        <v>283</v>
      </c>
      <c r="BX5" s="265"/>
      <c r="BY5" s="265"/>
      <c r="BZ5" s="457" t="s">
        <v>290</v>
      </c>
      <c r="CA5" s="261" t="s">
        <v>344</v>
      </c>
      <c r="CB5" s="361" t="s">
        <v>292</v>
      </c>
      <c r="CC5" s="458" t="s">
        <v>291</v>
      </c>
    </row>
    <row r="6" spans="1:81" x14ac:dyDescent="0.2">
      <c r="A6" s="267" t="s">
        <v>26</v>
      </c>
      <c r="B6" s="268" t="s">
        <v>43</v>
      </c>
      <c r="C6" s="269" t="s">
        <v>33</v>
      </c>
      <c r="D6" s="270" t="s">
        <v>90</v>
      </c>
      <c r="E6" s="271" t="s">
        <v>41</v>
      </c>
      <c r="F6" s="272"/>
      <c r="G6" s="272"/>
      <c r="H6" s="176">
        <v>0.1</v>
      </c>
      <c r="I6" s="468">
        <f t="shared" ref="I6:I37" si="0">IF(PLOT_TYPE=1, H6/100*Iout_max, min_I*EXP(H6*rr/100))</f>
        <v>1.1E-4</v>
      </c>
      <c r="J6" s="223"/>
      <c r="K6" s="223"/>
      <c r="L6" s="223"/>
      <c r="M6" s="223"/>
      <c r="N6" s="273"/>
      <c r="O6" s="178"/>
      <c r="P6" s="223"/>
      <c r="Q6" s="454"/>
      <c r="S6" s="274"/>
      <c r="T6" s="274"/>
      <c r="U6" s="274"/>
      <c r="AJ6" s="454"/>
      <c r="AY6" s="222">
        <f>Vout*I6</f>
        <v>2.64E-3</v>
      </c>
      <c r="AZ6" s="275">
        <f>AY6/(AY6+AX6)</f>
        <v>1</v>
      </c>
      <c r="BA6" s="351">
        <f t="shared" ref="BA6:BA9" si="1">AG6/($AY6+$AX6)</f>
        <v>0</v>
      </c>
      <c r="BB6" s="351">
        <f>AO6/($AY6+$AX6)</f>
        <v>0</v>
      </c>
      <c r="BC6" s="351" t="e">
        <f t="shared" ref="BC6:BC9" si="2">Vin*R6*(QgBot+Qg)/($AY6+$AX6)</f>
        <v>#NAME?</v>
      </c>
      <c r="BD6" s="351">
        <f t="shared" ref="BD6:BD9" si="3">AK6/($AY6+$AX6)</f>
        <v>0</v>
      </c>
      <c r="BE6" s="351">
        <f t="shared" ref="BE6:BE9" si="4">AQ6/(AX6+AY6)</f>
        <v>0</v>
      </c>
      <c r="BF6" s="351">
        <f t="shared" ref="BF6:BF9" si="5">AR6/($AY6+$AX6)</f>
        <v>0</v>
      </c>
      <c r="BG6" s="351">
        <f t="shared" ref="BG6:BG9" si="6">W6/($AY6+$AX6)</f>
        <v>0</v>
      </c>
      <c r="BH6" s="351">
        <f t="shared" ref="BH6:BH9" si="7">X6/($AY6+$AX6)</f>
        <v>0</v>
      </c>
      <c r="BI6" s="351">
        <f t="shared" ref="BI6:BI9" si="8">(AB6+AE6)/($AY6+$AX6)</f>
        <v>0</v>
      </c>
      <c r="BJ6" s="225">
        <f>AT6/($AY6+$AX6)</f>
        <v>0</v>
      </c>
      <c r="BK6" s="225">
        <f>AX6/($AY6+$AX6)</f>
        <v>0</v>
      </c>
      <c r="BL6" s="225">
        <f>AZ6</f>
        <v>1</v>
      </c>
      <c r="BM6" s="178">
        <f>100*BL6</f>
        <v>100</v>
      </c>
      <c r="BN6" s="223">
        <f xml:space="preserve"> CHOOSE(MODE, I6*1000,#REF!)</f>
        <v>0.11</v>
      </c>
      <c r="BO6" s="178">
        <v>59.702372085750142</v>
      </c>
      <c r="BP6" s="225">
        <f>BO6/100</f>
        <v>0.59702372085750144</v>
      </c>
      <c r="BQ6" s="276">
        <f t="shared" ref="BQ6:BQ9" si="9">R6/1000</f>
        <v>0</v>
      </c>
      <c r="BR6" s="277"/>
      <c r="BS6" s="225">
        <f>AL6/($AY6+$AX6)</f>
        <v>0</v>
      </c>
      <c r="BT6" s="278"/>
      <c r="BU6" s="178">
        <f>1000*AW6</f>
        <v>0</v>
      </c>
      <c r="BV6" s="178">
        <f>1000*AU6</f>
        <v>0</v>
      </c>
      <c r="BW6" s="178">
        <f t="shared" ref="BW6:BW9" si="10">1000*Y6</f>
        <v>0</v>
      </c>
      <c r="BX6" s="225"/>
      <c r="BY6" s="225"/>
      <c r="BZ6" s="178">
        <f xml:space="preserve"> IF(MODE=1, BM6,#REF!)</f>
        <v>100</v>
      </c>
      <c r="CA6" s="178">
        <f xml:space="preserve"> IF(MODE=1, BU6,#REF!)</f>
        <v>0</v>
      </c>
      <c r="CB6" s="178">
        <f xml:space="preserve"> IF(MODE=1, BV6,#REF!)</f>
        <v>0</v>
      </c>
      <c r="CC6" s="178">
        <f xml:space="preserve"> IF(MODE=1, BW6,#REF!)</f>
        <v>0</v>
      </c>
    </row>
    <row r="7" spans="1:81" x14ac:dyDescent="0.2">
      <c r="A7" s="425"/>
      <c r="B7" s="268"/>
      <c r="C7" s="269"/>
      <c r="D7" s="270"/>
      <c r="E7" s="271"/>
      <c r="F7" s="272"/>
      <c r="G7" s="272"/>
      <c r="H7" s="176">
        <v>1</v>
      </c>
      <c r="I7" s="468">
        <f t="shared" si="0"/>
        <v>1.1000000000000001E-3</v>
      </c>
      <c r="J7" s="223"/>
      <c r="K7" s="223"/>
      <c r="L7" s="223"/>
      <c r="M7" s="223"/>
      <c r="N7" s="273"/>
      <c r="O7" s="178"/>
      <c r="P7" s="223"/>
      <c r="Q7" s="454"/>
      <c r="S7" s="274"/>
      <c r="T7" s="274"/>
      <c r="U7" s="274"/>
      <c r="AJ7" s="454"/>
      <c r="AY7" s="222">
        <f>Vout*I7</f>
        <v>2.64E-2</v>
      </c>
      <c r="AZ7" s="275">
        <f>AY7/(AY7+AX7)</f>
        <v>1</v>
      </c>
      <c r="BA7" s="351">
        <f t="shared" si="1"/>
        <v>0</v>
      </c>
      <c r="BB7" s="351">
        <f>AO7/($AY7+$AX7)</f>
        <v>0</v>
      </c>
      <c r="BC7" s="351" t="e">
        <f t="shared" si="2"/>
        <v>#NAME?</v>
      </c>
      <c r="BD7" s="351">
        <f t="shared" ref="BD7" si="11">AK7/($AY7+$AX7)</f>
        <v>0</v>
      </c>
      <c r="BE7" s="351">
        <f t="shared" ref="BE7" si="12">AQ7/(AX7+AY7)</f>
        <v>0</v>
      </c>
      <c r="BF7" s="351">
        <f t="shared" ref="BF7" si="13">AR7/($AY7+$AX7)</f>
        <v>0</v>
      </c>
      <c r="BG7" s="351">
        <f t="shared" si="6"/>
        <v>0</v>
      </c>
      <c r="BH7" s="351">
        <f t="shared" si="7"/>
        <v>0</v>
      </c>
      <c r="BI7" s="351">
        <f t="shared" si="8"/>
        <v>0</v>
      </c>
      <c r="BJ7" s="225">
        <f>AT7/($AY7+$AX7)</f>
        <v>0</v>
      </c>
      <c r="BK7" s="225">
        <f t="shared" ref="BK7:BK9" si="14">AX7/($AY7+$AX7)</f>
        <v>0</v>
      </c>
      <c r="BL7" s="225">
        <f>AZ7</f>
        <v>1</v>
      </c>
      <c r="BM7" s="178">
        <f>100*BL7</f>
        <v>100</v>
      </c>
      <c r="BN7" s="223">
        <f xml:space="preserve"> CHOOSE(MODE, I7*1000,#REF!)</f>
        <v>1.1000000000000001</v>
      </c>
      <c r="BO7" s="178">
        <v>83.682599061581868</v>
      </c>
      <c r="BP7" s="225">
        <f t="shared" ref="BP7:BP9" si="15">BO7/100</f>
        <v>0.83682599061581864</v>
      </c>
      <c r="BQ7" s="276">
        <f t="shared" si="9"/>
        <v>0</v>
      </c>
      <c r="BR7" s="277"/>
      <c r="BS7" s="225">
        <f>AL7/($AY7+$AX7)</f>
        <v>0</v>
      </c>
      <c r="BT7" s="278"/>
      <c r="BU7" s="178">
        <f>1000*AW7</f>
        <v>0</v>
      </c>
      <c r="BV7" s="178">
        <f>1000*AU7</f>
        <v>0</v>
      </c>
      <c r="BW7" s="178">
        <f t="shared" si="10"/>
        <v>0</v>
      </c>
      <c r="BX7" s="225"/>
      <c r="BY7" s="225"/>
      <c r="BZ7" s="178">
        <f xml:space="preserve"> IF(MODE=1, BM7,#REF!)</f>
        <v>100</v>
      </c>
      <c r="CA7" s="178">
        <f xml:space="preserve"> IF(MODE=1, BU7,#REF!)</f>
        <v>0</v>
      </c>
      <c r="CB7" s="178">
        <f xml:space="preserve"> IF(MODE=1, BV7,#REF!)</f>
        <v>0</v>
      </c>
      <c r="CC7" s="178">
        <f xml:space="preserve"> IF(MODE=1, BW7,#REF!)</f>
        <v>0</v>
      </c>
    </row>
    <row r="8" spans="1:81" x14ac:dyDescent="0.2">
      <c r="A8" s="279" t="s">
        <v>3</v>
      </c>
      <c r="B8" s="280">
        <f>Vin</f>
        <v>12</v>
      </c>
      <c r="C8" s="281" t="s">
        <v>0</v>
      </c>
      <c r="D8" s="200">
        <f>B8</f>
        <v>12</v>
      </c>
      <c r="E8" s="194" t="s">
        <v>3</v>
      </c>
      <c r="F8" s="272"/>
      <c r="G8" s="272"/>
      <c r="H8" s="176">
        <v>2</v>
      </c>
      <c r="I8" s="468">
        <f t="shared" si="0"/>
        <v>2.2000000000000001E-3</v>
      </c>
      <c r="J8" s="223"/>
      <c r="K8" s="223"/>
      <c r="L8" s="223"/>
      <c r="M8" s="223"/>
      <c r="N8" s="273"/>
      <c r="O8" s="178"/>
      <c r="P8" s="223"/>
      <c r="Q8" s="454"/>
      <c r="S8" s="274"/>
      <c r="T8" s="274"/>
      <c r="U8" s="274"/>
      <c r="AJ8" s="454"/>
      <c r="AY8" s="222">
        <f>Vout*I8</f>
        <v>5.28E-2</v>
      </c>
      <c r="AZ8" s="275">
        <f>AY8/(AY8+AX8)</f>
        <v>1</v>
      </c>
      <c r="BA8" s="351">
        <f t="shared" si="1"/>
        <v>0</v>
      </c>
      <c r="BB8" s="351">
        <f t="shared" ref="BB8:BB9" si="16">AO8/($AY8+$AX8)</f>
        <v>0</v>
      </c>
      <c r="BC8" s="351" t="e">
        <f t="shared" si="2"/>
        <v>#NAME?</v>
      </c>
      <c r="BD8" s="351">
        <f t="shared" si="3"/>
        <v>0</v>
      </c>
      <c r="BE8" s="351">
        <f t="shared" si="4"/>
        <v>0</v>
      </c>
      <c r="BF8" s="351">
        <f t="shared" si="5"/>
        <v>0</v>
      </c>
      <c r="BG8" s="351">
        <f t="shared" si="6"/>
        <v>0</v>
      </c>
      <c r="BH8" s="351">
        <f t="shared" si="7"/>
        <v>0</v>
      </c>
      <c r="BI8" s="351">
        <f t="shared" si="8"/>
        <v>0</v>
      </c>
      <c r="BJ8" s="225">
        <f t="shared" ref="BJ8:BJ9" si="17">AT8/($AY8+$AX8)</f>
        <v>0</v>
      </c>
      <c r="BK8" s="225">
        <f t="shared" si="14"/>
        <v>0</v>
      </c>
      <c r="BL8" s="225">
        <f t="shared" ref="BL8:BL9" si="18">AZ8</f>
        <v>1</v>
      </c>
      <c r="BM8" s="178">
        <f t="shared" ref="BM8:BM9" si="19">100*BL8</f>
        <v>100</v>
      </c>
      <c r="BN8" s="223">
        <f xml:space="preserve"> CHOOSE(MODE, I8*1000,#REF!)</f>
        <v>2.2000000000000002</v>
      </c>
      <c r="BO8" s="178">
        <v>85.591306536493136</v>
      </c>
      <c r="BP8" s="225">
        <f t="shared" si="15"/>
        <v>0.85591306536493139</v>
      </c>
      <c r="BQ8" s="276">
        <f t="shared" si="9"/>
        <v>0</v>
      </c>
      <c r="BR8" s="277"/>
      <c r="BS8" s="225">
        <f t="shared" ref="BS8:BS9" si="20">AL8/($AY8+$AX8)</f>
        <v>0</v>
      </c>
      <c r="BT8" s="278"/>
      <c r="BU8" s="178">
        <f t="shared" ref="BU8:BU9" si="21">1000*AW8</f>
        <v>0</v>
      </c>
      <c r="BV8" s="178">
        <f t="shared" ref="BV8:BV9" si="22">1000*AU8</f>
        <v>0</v>
      </c>
      <c r="BW8" s="178">
        <f t="shared" si="10"/>
        <v>0</v>
      </c>
      <c r="BX8" s="225"/>
      <c r="BY8" s="225"/>
      <c r="BZ8" s="178">
        <f xml:space="preserve"> IF(MODE=1, BM8,#REF!)</f>
        <v>100</v>
      </c>
      <c r="CA8" s="178">
        <f xml:space="preserve"> IF(MODE=1, BU8,#REF!)</f>
        <v>0</v>
      </c>
      <c r="CB8" s="178">
        <f xml:space="preserve"> IF(MODE=1, BV8,#REF!)</f>
        <v>0</v>
      </c>
      <c r="CC8" s="178">
        <f xml:space="preserve"> IF(MODE=1, BW8,#REF!)</f>
        <v>0</v>
      </c>
    </row>
    <row r="9" spans="1:81" x14ac:dyDescent="0.2">
      <c r="A9" s="282" t="s">
        <v>4</v>
      </c>
      <c r="B9" s="280">
        <f>Vout</f>
        <v>24</v>
      </c>
      <c r="C9" s="281" t="s">
        <v>0</v>
      </c>
      <c r="D9" s="200">
        <f>B9</f>
        <v>24</v>
      </c>
      <c r="E9" s="194" t="s">
        <v>4</v>
      </c>
      <c r="F9" s="272"/>
      <c r="G9" s="272"/>
      <c r="H9" s="176">
        <v>3</v>
      </c>
      <c r="I9" s="468">
        <f t="shared" si="0"/>
        <v>3.3E-3</v>
      </c>
      <c r="J9" s="223"/>
      <c r="K9" s="223"/>
      <c r="L9" s="223"/>
      <c r="M9" s="223"/>
      <c r="N9" s="273"/>
      <c r="O9" s="178"/>
      <c r="P9" s="223"/>
      <c r="Q9" s="454"/>
      <c r="S9" s="274"/>
      <c r="T9" s="274"/>
      <c r="U9" s="274"/>
      <c r="AJ9" s="454"/>
      <c r="AY9" s="222">
        <f>Vout*I9</f>
        <v>7.9199999999999993E-2</v>
      </c>
      <c r="AZ9" s="275">
        <f t="shared" ref="AZ9" si="23">AY9/(AY9+AX9)</f>
        <v>1</v>
      </c>
      <c r="BA9" s="351">
        <f t="shared" si="1"/>
        <v>0</v>
      </c>
      <c r="BB9" s="351">
        <f t="shared" si="16"/>
        <v>0</v>
      </c>
      <c r="BC9" s="351" t="e">
        <f t="shared" si="2"/>
        <v>#NAME?</v>
      </c>
      <c r="BD9" s="351">
        <f t="shared" si="3"/>
        <v>0</v>
      </c>
      <c r="BE9" s="351">
        <f t="shared" si="4"/>
        <v>0</v>
      </c>
      <c r="BF9" s="351">
        <f t="shared" si="5"/>
        <v>0</v>
      </c>
      <c r="BG9" s="351">
        <f t="shared" si="6"/>
        <v>0</v>
      </c>
      <c r="BH9" s="351">
        <f t="shared" si="7"/>
        <v>0</v>
      </c>
      <c r="BI9" s="351">
        <f t="shared" si="8"/>
        <v>0</v>
      </c>
      <c r="BJ9" s="225">
        <f t="shared" si="17"/>
        <v>0</v>
      </c>
      <c r="BK9" s="225">
        <f t="shared" si="14"/>
        <v>0</v>
      </c>
      <c r="BL9" s="225">
        <f t="shared" si="18"/>
        <v>1</v>
      </c>
      <c r="BM9" s="178">
        <f t="shared" si="19"/>
        <v>100</v>
      </c>
      <c r="BN9" s="223">
        <f xml:space="preserve"> CHOOSE(MODE, I9*1000,#REF!)</f>
        <v>3.3</v>
      </c>
      <c r="BO9" s="178">
        <v>86.246143423411425</v>
      </c>
      <c r="BP9" s="225">
        <f t="shared" si="15"/>
        <v>0.86246143423411425</v>
      </c>
      <c r="BQ9" s="276">
        <f t="shared" si="9"/>
        <v>0</v>
      </c>
      <c r="BR9" s="277"/>
      <c r="BS9" s="225">
        <f t="shared" si="20"/>
        <v>0</v>
      </c>
      <c r="BT9" s="278"/>
      <c r="BU9" s="178">
        <f t="shared" si="21"/>
        <v>0</v>
      </c>
      <c r="BV9" s="178">
        <f t="shared" si="22"/>
        <v>0</v>
      </c>
      <c r="BW9" s="178">
        <f t="shared" si="10"/>
        <v>0</v>
      </c>
      <c r="BX9" s="225"/>
      <c r="BY9" s="225"/>
      <c r="BZ9" s="178">
        <f xml:space="preserve"> IF(MODE=1, BM9,#REF!)</f>
        <v>100</v>
      </c>
      <c r="CA9" s="178">
        <f xml:space="preserve"> IF(MODE=1, BU9,#REF!)</f>
        <v>0</v>
      </c>
      <c r="CB9" s="178">
        <f xml:space="preserve"> IF(MODE=1, BV9,#REF!)</f>
        <v>0</v>
      </c>
      <c r="CC9" s="178">
        <f xml:space="preserve"> IF(MODE=1, BW9,#REF!)</f>
        <v>0</v>
      </c>
    </row>
    <row r="10" spans="1:81" x14ac:dyDescent="0.2">
      <c r="A10" s="282" t="s">
        <v>5</v>
      </c>
      <c r="B10" s="280">
        <f>Iout</f>
        <v>0.11</v>
      </c>
      <c r="C10" s="281" t="s">
        <v>1</v>
      </c>
      <c r="D10" s="200">
        <f>B10</f>
        <v>0.11</v>
      </c>
      <c r="E10" s="283" t="s">
        <v>242</v>
      </c>
      <c r="F10" s="272"/>
      <c r="G10" s="272"/>
      <c r="H10" s="176">
        <v>4</v>
      </c>
      <c r="I10" s="468">
        <f t="shared" si="0"/>
        <v>4.4000000000000003E-3</v>
      </c>
      <c r="J10" s="223"/>
      <c r="K10" s="223"/>
      <c r="L10" s="223"/>
      <c r="M10" s="223"/>
      <c r="N10" s="273"/>
      <c r="O10" s="178"/>
      <c r="P10" s="223"/>
      <c r="Q10" s="454"/>
      <c r="S10" s="274"/>
      <c r="T10" s="274"/>
      <c r="U10" s="274"/>
      <c r="AJ10" s="454"/>
      <c r="AZ10" s="275"/>
      <c r="BJ10" s="225"/>
      <c r="BK10" s="225"/>
      <c r="BL10" s="225"/>
      <c r="BO10" s="178"/>
      <c r="BP10" s="225"/>
      <c r="BQ10" s="276"/>
      <c r="BR10" s="277"/>
      <c r="BS10" s="225"/>
      <c r="BT10" s="278"/>
      <c r="BX10" s="225"/>
      <c r="BY10" s="225"/>
      <c r="BZ10" s="178"/>
      <c r="CA10" s="178"/>
      <c r="CB10" s="178"/>
      <c r="CC10" s="178"/>
    </row>
    <row r="11" spans="1:81" x14ac:dyDescent="0.2">
      <c r="A11" s="282" t="s">
        <v>139</v>
      </c>
      <c r="B11" s="363">
        <f>Vout/(Fsw/1000)*100000/16</f>
        <v>750000</v>
      </c>
      <c r="C11" s="284" t="s">
        <v>243</v>
      </c>
      <c r="D11" s="298">
        <f>B11*1000</f>
        <v>750000000</v>
      </c>
      <c r="E11" s="283"/>
      <c r="F11" s="272"/>
      <c r="G11" s="272"/>
      <c r="H11" s="176">
        <v>5</v>
      </c>
      <c r="I11" s="468">
        <f t="shared" si="0"/>
        <v>5.5000000000000005E-3</v>
      </c>
      <c r="J11" s="223"/>
      <c r="K11" s="223"/>
      <c r="L11" s="223"/>
      <c r="M11" s="223"/>
      <c r="N11" s="273"/>
      <c r="O11" s="178"/>
      <c r="P11" s="223"/>
      <c r="Q11" s="454"/>
      <c r="S11" s="274"/>
      <c r="T11" s="274"/>
      <c r="U11" s="274"/>
      <c r="AJ11" s="454"/>
      <c r="AZ11" s="275"/>
      <c r="BJ11" s="225"/>
      <c r="BK11" s="225"/>
      <c r="BL11" s="225"/>
      <c r="BO11" s="178"/>
      <c r="BP11" s="225"/>
      <c r="BQ11" s="276"/>
      <c r="BR11" s="277"/>
      <c r="BS11" s="225"/>
      <c r="BT11" s="278"/>
      <c r="BX11" s="225"/>
      <c r="BY11" s="225"/>
      <c r="BZ11" s="178"/>
      <c r="CA11" s="178"/>
      <c r="CB11" s="178"/>
      <c r="CC11" s="178"/>
    </row>
    <row r="12" spans="1:81" x14ac:dyDescent="0.2">
      <c r="A12" s="282" t="s">
        <v>244</v>
      </c>
      <c r="B12" s="280">
        <v>25</v>
      </c>
      <c r="C12" s="281" t="s">
        <v>102</v>
      </c>
      <c r="D12" s="200">
        <f>B12</f>
        <v>25</v>
      </c>
      <c r="E12" s="283" t="s">
        <v>245</v>
      </c>
      <c r="F12" s="272">
        <f>Turns_Ratio</f>
        <v>6</v>
      </c>
      <c r="H12" s="176">
        <v>6</v>
      </c>
      <c r="I12" s="468">
        <f t="shared" si="0"/>
        <v>6.6E-3</v>
      </c>
      <c r="J12" s="223"/>
      <c r="K12" s="223"/>
      <c r="L12" s="223"/>
      <c r="M12" s="223"/>
      <c r="N12" s="273"/>
      <c r="O12" s="178"/>
      <c r="P12" s="223"/>
      <c r="Q12" s="454"/>
      <c r="S12" s="274"/>
      <c r="T12" s="274"/>
      <c r="U12" s="274"/>
      <c r="AJ12" s="454"/>
      <c r="AZ12" s="275"/>
      <c r="BJ12" s="225"/>
      <c r="BK12" s="225"/>
      <c r="BL12" s="225"/>
      <c r="BO12" s="178"/>
      <c r="BP12" s="225"/>
      <c r="BQ12" s="276"/>
      <c r="BR12" s="277"/>
      <c r="BS12" s="225"/>
      <c r="BT12" s="278"/>
      <c r="BX12" s="225"/>
      <c r="BY12" s="225"/>
      <c r="BZ12" s="178"/>
      <c r="CA12" s="178"/>
      <c r="CB12" s="178"/>
      <c r="CC12" s="178"/>
    </row>
    <row r="13" spans="1:81" x14ac:dyDescent="0.2">
      <c r="A13" s="285" t="s">
        <v>246</v>
      </c>
      <c r="B13" s="286">
        <v>5</v>
      </c>
      <c r="C13" s="281" t="s">
        <v>0</v>
      </c>
      <c r="D13" s="200">
        <f>B13</f>
        <v>5</v>
      </c>
      <c r="E13" s="283"/>
      <c r="F13" s="272"/>
      <c r="G13" s="272"/>
      <c r="H13" s="176">
        <v>7</v>
      </c>
      <c r="I13" s="468">
        <f t="shared" si="0"/>
        <v>7.7000000000000011E-3</v>
      </c>
      <c r="J13" s="223"/>
      <c r="K13" s="223"/>
      <c r="L13" s="223"/>
      <c r="M13" s="223"/>
      <c r="N13" s="273"/>
      <c r="O13" s="178"/>
      <c r="P13" s="223"/>
      <c r="Q13" s="454"/>
      <c r="S13" s="274"/>
      <c r="T13" s="274"/>
      <c r="U13" s="274"/>
      <c r="AJ13" s="454"/>
      <c r="AZ13" s="275"/>
      <c r="BJ13" s="225"/>
      <c r="BK13" s="225"/>
      <c r="BL13" s="225"/>
      <c r="BO13" s="178"/>
      <c r="BP13" s="225"/>
      <c r="BQ13" s="276"/>
      <c r="BR13" s="277"/>
      <c r="BS13" s="225"/>
      <c r="BT13" s="278"/>
      <c r="BX13" s="225"/>
      <c r="BY13" s="225"/>
      <c r="BZ13" s="178"/>
      <c r="CA13" s="178"/>
      <c r="CB13" s="178"/>
      <c r="CC13" s="178"/>
    </row>
    <row r="14" spans="1:81" x14ac:dyDescent="0.2">
      <c r="F14" s="272"/>
      <c r="G14" s="272"/>
      <c r="H14" s="176">
        <v>8</v>
      </c>
      <c r="I14" s="468">
        <f t="shared" si="0"/>
        <v>8.8000000000000005E-3</v>
      </c>
      <c r="J14" s="223"/>
      <c r="K14" s="223"/>
      <c r="L14" s="223"/>
      <c r="M14" s="223"/>
      <c r="N14" s="273"/>
      <c r="O14" s="178"/>
      <c r="P14" s="223"/>
      <c r="Q14" s="454"/>
      <c r="S14" s="274"/>
      <c r="T14" s="274"/>
      <c r="U14" s="274"/>
      <c r="AJ14" s="454"/>
      <c r="AZ14" s="275"/>
      <c r="BJ14" s="225"/>
      <c r="BK14" s="225"/>
      <c r="BL14" s="225"/>
      <c r="BO14" s="178"/>
      <c r="BP14" s="225"/>
      <c r="BQ14" s="276"/>
      <c r="BR14" s="277"/>
      <c r="BS14" s="225"/>
      <c r="BT14" s="278"/>
      <c r="BX14" s="225"/>
      <c r="BY14" s="225"/>
      <c r="BZ14" s="178"/>
      <c r="CA14" s="178"/>
      <c r="CB14" s="178"/>
      <c r="CC14" s="178"/>
    </row>
    <row r="15" spans="1:81" x14ac:dyDescent="0.2">
      <c r="A15" s="287" t="s">
        <v>34</v>
      </c>
      <c r="B15" s="245"/>
      <c r="C15" s="245"/>
      <c r="D15" s="245"/>
      <c r="E15" s="246"/>
      <c r="F15" s="272"/>
      <c r="G15" s="272"/>
      <c r="H15" s="176">
        <v>9</v>
      </c>
      <c r="I15" s="468">
        <f t="shared" si="0"/>
        <v>9.8999999999999991E-3</v>
      </c>
      <c r="J15" s="223"/>
      <c r="K15" s="223"/>
      <c r="L15" s="223"/>
      <c r="M15" s="223"/>
      <c r="N15" s="273"/>
      <c r="O15" s="178"/>
      <c r="P15" s="223"/>
      <c r="Q15" s="454"/>
      <c r="S15" s="274"/>
      <c r="T15" s="274"/>
      <c r="U15" s="274"/>
      <c r="AJ15" s="454"/>
      <c r="AZ15" s="275"/>
      <c r="BJ15" s="225"/>
      <c r="BK15" s="225"/>
      <c r="BL15" s="225"/>
      <c r="BO15" s="178"/>
      <c r="BP15" s="225"/>
      <c r="BQ15" s="276"/>
      <c r="BR15" s="277"/>
      <c r="BS15" s="225"/>
      <c r="BT15" s="278"/>
      <c r="BX15" s="225"/>
      <c r="BY15" s="225"/>
      <c r="BZ15" s="178"/>
      <c r="CA15" s="178"/>
      <c r="CB15" s="178"/>
      <c r="CC15" s="178"/>
    </row>
    <row r="16" spans="1:81" x14ac:dyDescent="0.2">
      <c r="A16" s="288" t="s">
        <v>26</v>
      </c>
      <c r="B16" s="268" t="s">
        <v>6</v>
      </c>
      <c r="C16" s="289" t="s">
        <v>33</v>
      </c>
      <c r="D16" s="290" t="s">
        <v>90</v>
      </c>
      <c r="E16" s="271" t="s">
        <v>41</v>
      </c>
      <c r="F16" s="272"/>
      <c r="G16" s="272"/>
      <c r="H16" s="176">
        <v>10</v>
      </c>
      <c r="I16" s="468">
        <f t="shared" si="0"/>
        <v>1.1000000000000001E-2</v>
      </c>
      <c r="J16" s="223"/>
      <c r="K16" s="223"/>
      <c r="L16" s="223"/>
      <c r="M16" s="223"/>
      <c r="N16" s="273"/>
      <c r="O16" s="178"/>
      <c r="P16" s="223"/>
      <c r="Q16" s="454"/>
      <c r="S16" s="274"/>
      <c r="T16" s="274"/>
      <c r="U16" s="274"/>
      <c r="AJ16" s="454"/>
      <c r="AZ16" s="275"/>
      <c r="BJ16" s="225"/>
      <c r="BK16" s="225"/>
      <c r="BL16" s="225"/>
      <c r="BO16" s="178"/>
      <c r="BP16" s="225"/>
      <c r="BQ16" s="276"/>
      <c r="BR16" s="277"/>
      <c r="BS16" s="225"/>
      <c r="BT16" s="278"/>
      <c r="BX16" s="225"/>
      <c r="BY16" s="225"/>
      <c r="BZ16" s="178"/>
      <c r="CA16" s="178"/>
      <c r="CB16" s="178"/>
      <c r="CC16" s="178"/>
    </row>
    <row r="17" spans="1:81" x14ac:dyDescent="0.2">
      <c r="A17" s="291" t="s">
        <v>247</v>
      </c>
      <c r="B17" s="292">
        <f>Vout/Vin/Fsw*1000000</f>
        <v>10000</v>
      </c>
      <c r="C17" s="293" t="s">
        <v>248</v>
      </c>
      <c r="D17" s="294">
        <f>B17/1000000</f>
        <v>0.01</v>
      </c>
      <c r="E17" s="283" t="s">
        <v>249</v>
      </c>
      <c r="F17" s="272"/>
      <c r="G17" s="272"/>
      <c r="H17" s="176">
        <v>11</v>
      </c>
      <c r="I17" s="468">
        <f t="shared" si="0"/>
        <v>1.21E-2</v>
      </c>
      <c r="J17" s="223"/>
      <c r="K17" s="223"/>
      <c r="L17" s="223"/>
      <c r="M17" s="223"/>
      <c r="N17" s="273"/>
      <c r="O17" s="178"/>
      <c r="P17" s="223"/>
      <c r="Q17" s="454"/>
      <c r="S17" s="274"/>
      <c r="T17" s="274"/>
      <c r="U17" s="274"/>
      <c r="AJ17" s="454"/>
      <c r="AZ17" s="275"/>
      <c r="BJ17" s="225"/>
      <c r="BK17" s="225"/>
      <c r="BL17" s="225"/>
      <c r="BO17" s="178"/>
      <c r="BP17" s="225"/>
      <c r="BQ17" s="276"/>
      <c r="BR17" s="277"/>
      <c r="BS17" s="225"/>
      <c r="BT17" s="278"/>
      <c r="BX17" s="225"/>
      <c r="BY17" s="225"/>
      <c r="BZ17" s="178"/>
      <c r="CA17" s="178"/>
      <c r="CB17" s="178"/>
      <c r="CC17" s="178"/>
    </row>
    <row r="18" spans="1:81" x14ac:dyDescent="0.2">
      <c r="A18" s="291" t="s">
        <v>250</v>
      </c>
      <c r="B18" s="292"/>
      <c r="C18" s="293" t="s">
        <v>248</v>
      </c>
      <c r="D18" s="295">
        <f>B18/1000000</f>
        <v>0</v>
      </c>
      <c r="E18" s="281" t="s">
        <v>251</v>
      </c>
      <c r="F18" s="272"/>
      <c r="G18" s="272"/>
      <c r="H18" s="176">
        <v>12</v>
      </c>
      <c r="I18" s="468">
        <f t="shared" si="0"/>
        <v>1.32E-2</v>
      </c>
      <c r="J18" s="223"/>
      <c r="K18" s="223"/>
      <c r="L18" s="223"/>
      <c r="M18" s="223"/>
      <c r="N18" s="273"/>
      <c r="O18" s="178"/>
      <c r="P18" s="223"/>
      <c r="Q18" s="454"/>
      <c r="S18" s="274"/>
      <c r="T18" s="274"/>
      <c r="U18" s="274"/>
      <c r="AJ18" s="454"/>
      <c r="AZ18" s="275"/>
      <c r="BJ18" s="225"/>
      <c r="BK18" s="225"/>
      <c r="BL18" s="225"/>
      <c r="BO18" s="178"/>
      <c r="BP18" s="225"/>
      <c r="BQ18" s="276"/>
      <c r="BR18" s="277"/>
      <c r="BS18" s="225"/>
      <c r="BT18" s="278"/>
      <c r="BX18" s="225"/>
      <c r="BY18" s="225"/>
      <c r="BZ18" s="178"/>
      <c r="CA18" s="178"/>
      <c r="CB18" s="178"/>
      <c r="CC18" s="178"/>
    </row>
    <row r="19" spans="1:81" ht="15.75" x14ac:dyDescent="0.3">
      <c r="A19" s="285" t="s">
        <v>252</v>
      </c>
      <c r="B19" s="296">
        <f>(Vin-Vout-(Rdcr_pri+Rdson)*Iout)/L*OnTime*1000</f>
        <v>-2566063.8297872343</v>
      </c>
      <c r="C19" s="283" t="s">
        <v>30</v>
      </c>
      <c r="D19" s="196">
        <f>B19/1000</f>
        <v>-2566.0638297872342</v>
      </c>
      <c r="E19" s="281" t="s">
        <v>253</v>
      </c>
      <c r="F19" s="272"/>
      <c r="G19" s="272"/>
      <c r="H19" s="176">
        <v>13</v>
      </c>
      <c r="I19" s="468">
        <f t="shared" si="0"/>
        <v>1.43E-2</v>
      </c>
      <c r="J19" s="223"/>
      <c r="K19" s="223"/>
      <c r="L19" s="223"/>
      <c r="M19" s="223"/>
      <c r="N19" s="273"/>
      <c r="O19" s="178"/>
      <c r="P19" s="223"/>
      <c r="Q19" s="454"/>
      <c r="S19" s="274"/>
      <c r="T19" s="274"/>
      <c r="U19" s="274"/>
      <c r="AJ19" s="454"/>
      <c r="AZ19" s="275"/>
      <c r="BJ19" s="225"/>
      <c r="BK19" s="225"/>
      <c r="BL19" s="225"/>
      <c r="BO19" s="178"/>
      <c r="BP19" s="225"/>
      <c r="BQ19" s="276"/>
      <c r="BR19" s="277"/>
      <c r="BS19" s="225"/>
      <c r="BT19" s="278"/>
      <c r="BX19" s="225"/>
      <c r="BY19" s="225"/>
      <c r="BZ19" s="178"/>
      <c r="CA19" s="178"/>
      <c r="CB19" s="178"/>
      <c r="CC19" s="178"/>
    </row>
    <row r="20" spans="1:81" x14ac:dyDescent="0.2">
      <c r="A20" s="291" t="s">
        <v>254</v>
      </c>
      <c r="B20" s="297">
        <f>'Design Converter'!E13</f>
        <v>0.2</v>
      </c>
      <c r="C20" s="281" t="s">
        <v>2</v>
      </c>
      <c r="D20" s="298">
        <f>B20*1000</f>
        <v>200</v>
      </c>
      <c r="E20" s="283" t="s">
        <v>255</v>
      </c>
      <c r="F20" s="365"/>
      <c r="G20" s="272"/>
      <c r="H20" s="176">
        <v>14</v>
      </c>
      <c r="I20" s="468">
        <f t="shared" si="0"/>
        <v>1.5400000000000002E-2</v>
      </c>
      <c r="J20" s="223"/>
      <c r="K20" s="223"/>
      <c r="L20" s="223"/>
      <c r="M20" s="223"/>
      <c r="N20" s="273"/>
      <c r="O20" s="178"/>
      <c r="P20" s="223"/>
      <c r="Q20" s="454"/>
      <c r="S20" s="274"/>
      <c r="T20" s="274"/>
      <c r="U20" s="274"/>
      <c r="AJ20" s="454"/>
      <c r="AZ20" s="275"/>
      <c r="BJ20" s="225"/>
      <c r="BK20" s="225"/>
      <c r="BL20" s="225"/>
      <c r="BO20" s="178"/>
      <c r="BP20" s="225"/>
      <c r="BQ20" s="276"/>
      <c r="BR20" s="277"/>
      <c r="BS20" s="225"/>
      <c r="BT20" s="278"/>
      <c r="BX20" s="225"/>
      <c r="BY20" s="225"/>
      <c r="BZ20" s="178"/>
      <c r="CA20" s="178"/>
      <c r="CB20" s="178"/>
      <c r="CC20" s="178"/>
    </row>
    <row r="21" spans="1:81" x14ac:dyDescent="0.2">
      <c r="A21" s="291" t="s">
        <v>421</v>
      </c>
      <c r="B21" s="296">
        <v>350</v>
      </c>
      <c r="C21" s="283" t="s">
        <v>2</v>
      </c>
      <c r="D21" s="298">
        <f>B21*1000</f>
        <v>350000</v>
      </c>
      <c r="E21" s="283" t="s">
        <v>422</v>
      </c>
      <c r="F21" s="272"/>
      <c r="G21" s="272"/>
      <c r="H21" s="176">
        <v>15</v>
      </c>
      <c r="I21" s="468">
        <f t="shared" si="0"/>
        <v>1.6500000000000001E-2</v>
      </c>
      <c r="J21" s="223"/>
      <c r="K21" s="223"/>
      <c r="L21" s="223"/>
      <c r="M21" s="223"/>
      <c r="N21" s="273"/>
      <c r="O21" s="178"/>
      <c r="P21" s="223"/>
      <c r="Q21" s="454"/>
      <c r="S21" s="274"/>
      <c r="T21" s="274"/>
      <c r="U21" s="274"/>
      <c r="AJ21" s="454"/>
      <c r="AZ21" s="275"/>
      <c r="BJ21" s="225"/>
      <c r="BK21" s="225"/>
      <c r="BL21" s="225"/>
      <c r="BO21" s="178"/>
      <c r="BP21" s="225"/>
      <c r="BQ21" s="276"/>
      <c r="BR21" s="277"/>
      <c r="BS21" s="225"/>
      <c r="BT21" s="278"/>
      <c r="BX21" s="225"/>
      <c r="BY21" s="225"/>
      <c r="BZ21" s="178"/>
      <c r="CA21" s="178"/>
      <c r="CB21" s="178"/>
      <c r="CC21" s="178"/>
    </row>
    <row r="22" spans="1:81" x14ac:dyDescent="0.2">
      <c r="A22" s="299" t="s">
        <v>38</v>
      </c>
      <c r="B22" s="300">
        <v>15</v>
      </c>
      <c r="C22" s="281" t="s">
        <v>32</v>
      </c>
      <c r="D22" s="301">
        <f>B22/1000000000</f>
        <v>1.4999999999999999E-8</v>
      </c>
      <c r="E22" s="194" t="s">
        <v>256</v>
      </c>
      <c r="F22" s="272"/>
      <c r="G22" s="272"/>
      <c r="H22" s="176">
        <v>16</v>
      </c>
      <c r="I22" s="468">
        <f t="shared" si="0"/>
        <v>1.7600000000000001E-2</v>
      </c>
      <c r="J22" s="223"/>
      <c r="K22" s="223"/>
      <c r="L22" s="223"/>
      <c r="M22" s="223"/>
      <c r="N22" s="273"/>
      <c r="O22" s="178"/>
      <c r="P22" s="223"/>
      <c r="Q22" s="454"/>
      <c r="S22" s="274"/>
      <c r="T22" s="274"/>
      <c r="U22" s="274"/>
      <c r="AJ22" s="454"/>
      <c r="AZ22" s="275"/>
      <c r="BJ22" s="225"/>
      <c r="BK22" s="225"/>
      <c r="BL22" s="225"/>
      <c r="BO22" s="178"/>
      <c r="BP22" s="225"/>
      <c r="BQ22" s="276"/>
      <c r="BR22" s="277"/>
      <c r="BS22" s="225"/>
      <c r="BT22" s="278"/>
      <c r="BX22" s="225"/>
      <c r="BY22" s="225"/>
      <c r="BZ22" s="178"/>
      <c r="CA22" s="178"/>
      <c r="CB22" s="178"/>
      <c r="CC22" s="178"/>
    </row>
    <row r="23" spans="1:81" x14ac:dyDescent="0.2">
      <c r="A23" s="299" t="s">
        <v>39</v>
      </c>
      <c r="B23" s="300">
        <v>15</v>
      </c>
      <c r="C23" s="281" t="s">
        <v>32</v>
      </c>
      <c r="D23" s="301">
        <f>B23/1000000000</f>
        <v>1.4999999999999999E-8</v>
      </c>
      <c r="E23" s="194" t="s">
        <v>257</v>
      </c>
      <c r="F23" s="272"/>
      <c r="G23" s="272"/>
      <c r="H23" s="176">
        <v>17</v>
      </c>
      <c r="I23" s="468">
        <f t="shared" si="0"/>
        <v>1.8700000000000001E-2</v>
      </c>
      <c r="J23" s="223"/>
      <c r="K23" s="223"/>
      <c r="L23" s="223"/>
      <c r="M23" s="223"/>
      <c r="N23" s="273"/>
      <c r="O23" s="178"/>
      <c r="P23" s="223"/>
      <c r="Q23" s="454"/>
      <c r="S23" s="274"/>
      <c r="T23" s="274"/>
      <c r="U23" s="274"/>
      <c r="AJ23" s="454"/>
      <c r="AZ23" s="275"/>
      <c r="BJ23" s="225"/>
      <c r="BK23" s="225"/>
      <c r="BL23" s="225"/>
      <c r="BO23" s="178"/>
      <c r="BP23" s="225"/>
      <c r="BQ23" s="276"/>
      <c r="BR23" s="277"/>
      <c r="BS23" s="225"/>
      <c r="BT23" s="278"/>
      <c r="BX23" s="225"/>
      <c r="BY23" s="225"/>
      <c r="BZ23" s="178"/>
      <c r="CA23" s="178"/>
      <c r="CB23" s="178"/>
      <c r="CC23" s="178"/>
    </row>
    <row r="24" spans="1:81" x14ac:dyDescent="0.2">
      <c r="A24" s="246"/>
      <c r="B24" s="246"/>
      <c r="C24" s="246"/>
      <c r="D24" s="246"/>
      <c r="E24" s="246"/>
      <c r="F24" s="272"/>
      <c r="G24" s="272"/>
      <c r="H24" s="176">
        <v>18</v>
      </c>
      <c r="I24" s="468">
        <f t="shared" si="0"/>
        <v>1.9799999999999998E-2</v>
      </c>
      <c r="J24" s="223"/>
      <c r="K24" s="223"/>
      <c r="L24" s="223"/>
      <c r="M24" s="223"/>
      <c r="N24" s="273"/>
      <c r="O24" s="178"/>
      <c r="P24" s="223"/>
      <c r="Q24" s="454"/>
      <c r="S24" s="274"/>
      <c r="T24" s="274"/>
      <c r="U24" s="274"/>
      <c r="AJ24" s="454"/>
      <c r="AZ24" s="275"/>
      <c r="BJ24" s="225"/>
      <c r="BK24" s="225"/>
      <c r="BL24" s="225"/>
      <c r="BO24" s="178"/>
      <c r="BP24" s="225"/>
      <c r="BQ24" s="276"/>
      <c r="BR24" s="277"/>
      <c r="BS24" s="225"/>
      <c r="BT24" s="278"/>
      <c r="BX24" s="225"/>
      <c r="BY24" s="225"/>
      <c r="BZ24" s="178"/>
      <c r="CA24" s="178"/>
      <c r="CB24" s="178"/>
      <c r="CC24" s="178"/>
    </row>
    <row r="25" spans="1:81" x14ac:dyDescent="0.2">
      <c r="A25" s="288" t="s">
        <v>29</v>
      </c>
      <c r="B25" s="269" t="s">
        <v>43</v>
      </c>
      <c r="C25" s="289" t="s">
        <v>33</v>
      </c>
      <c r="D25" s="290" t="s">
        <v>90</v>
      </c>
      <c r="E25" s="271" t="s">
        <v>41</v>
      </c>
      <c r="F25" s="272"/>
      <c r="G25" s="272"/>
      <c r="H25" s="176">
        <v>19</v>
      </c>
      <c r="I25" s="468">
        <f t="shared" si="0"/>
        <v>2.0900000000000002E-2</v>
      </c>
      <c r="J25" s="223"/>
      <c r="K25" s="223"/>
      <c r="L25" s="223"/>
      <c r="M25" s="223"/>
      <c r="N25" s="273"/>
      <c r="O25" s="178"/>
      <c r="P25" s="223"/>
      <c r="Q25" s="454"/>
      <c r="S25" s="274"/>
      <c r="T25" s="274"/>
      <c r="U25" s="274"/>
      <c r="AJ25" s="454"/>
      <c r="AZ25" s="275"/>
      <c r="BJ25" s="225"/>
      <c r="BK25" s="225"/>
      <c r="BL25" s="225"/>
      <c r="BO25" s="178"/>
      <c r="BP25" s="225"/>
      <c r="BQ25" s="276"/>
      <c r="BR25" s="277"/>
      <c r="BS25" s="225"/>
      <c r="BT25" s="278"/>
      <c r="BX25" s="225"/>
      <c r="BY25" s="225"/>
      <c r="BZ25" s="178"/>
      <c r="CA25" s="178"/>
      <c r="CB25" s="178"/>
      <c r="CC25" s="178"/>
    </row>
    <row r="26" spans="1:81" ht="13.5" thickBot="1" x14ac:dyDescent="0.25">
      <c r="A26" s="302" t="s">
        <v>27</v>
      </c>
      <c r="B26" s="283">
        <f>'Design Converter'!L7</f>
        <v>47</v>
      </c>
      <c r="C26" s="293" t="s">
        <v>96</v>
      </c>
      <c r="D26" s="200">
        <f>B26/1000000</f>
        <v>4.6999999999999997E-5</v>
      </c>
      <c r="E26" s="283" t="s">
        <v>258</v>
      </c>
      <c r="F26" s="303"/>
      <c r="G26" s="272"/>
      <c r="H26" s="176">
        <v>20</v>
      </c>
      <c r="I26" s="468">
        <f t="shared" si="0"/>
        <v>2.2000000000000002E-2</v>
      </c>
      <c r="J26" s="223"/>
      <c r="K26" s="223"/>
      <c r="L26" s="223"/>
      <c r="M26" s="223"/>
      <c r="N26" s="273"/>
      <c r="O26" s="178"/>
      <c r="P26" s="223"/>
      <c r="Q26" s="454"/>
      <c r="S26" s="274"/>
      <c r="T26" s="274"/>
      <c r="U26" s="274"/>
      <c r="AJ26" s="454"/>
      <c r="AZ26" s="275"/>
      <c r="BJ26" s="225"/>
      <c r="BK26" s="225"/>
      <c r="BL26" s="225"/>
      <c r="BO26" s="178"/>
      <c r="BP26" s="225"/>
      <c r="BQ26" s="276"/>
      <c r="BR26" s="277"/>
      <c r="BS26" s="225"/>
      <c r="BT26" s="278"/>
      <c r="BX26" s="225"/>
      <c r="BY26" s="225"/>
      <c r="BZ26" s="178"/>
      <c r="CA26" s="178"/>
      <c r="CB26" s="178"/>
      <c r="CC26" s="178"/>
    </row>
    <row r="27" spans="1:81" ht="13.5" thickBot="1" x14ac:dyDescent="0.25">
      <c r="A27" s="304" t="s">
        <v>396</v>
      </c>
      <c r="B27" s="305">
        <f>'Design Converter'!L8</f>
        <v>200</v>
      </c>
      <c r="C27" s="306" t="s">
        <v>259</v>
      </c>
      <c r="D27" s="200">
        <f>B27/1000</f>
        <v>0.2</v>
      </c>
      <c r="E27" s="283" t="s">
        <v>491</v>
      </c>
      <c r="F27" s="272"/>
      <c r="G27" s="272"/>
      <c r="H27" s="176">
        <v>21</v>
      </c>
      <c r="I27" s="468">
        <f t="shared" si="0"/>
        <v>2.3099999999999999E-2</v>
      </c>
      <c r="J27" s="223"/>
      <c r="K27" s="223"/>
      <c r="L27" s="223"/>
      <c r="M27" s="223"/>
      <c r="N27" s="273"/>
      <c r="O27" s="178"/>
      <c r="P27" s="223"/>
      <c r="Q27" s="454"/>
      <c r="S27" s="274"/>
      <c r="T27" s="274"/>
      <c r="U27" s="274"/>
      <c r="AJ27" s="454"/>
      <c r="AZ27" s="275"/>
      <c r="BJ27" s="225"/>
      <c r="BK27" s="225"/>
      <c r="BL27" s="225"/>
      <c r="BO27" s="178"/>
      <c r="BP27" s="225"/>
      <c r="BQ27" s="276"/>
      <c r="BR27" s="277"/>
      <c r="BS27" s="225"/>
      <c r="BT27" s="278"/>
      <c r="BX27" s="225"/>
      <c r="BY27" s="225"/>
      <c r="BZ27" s="178"/>
      <c r="CA27" s="178"/>
      <c r="CB27" s="178"/>
      <c r="CC27" s="178"/>
    </row>
    <row r="28" spans="1:81" ht="13.5" thickBot="1" x14ac:dyDescent="0.25">
      <c r="A28" s="304" t="s">
        <v>459</v>
      </c>
      <c r="B28" s="305">
        <f>'Design Converter'!L9</f>
        <v>200</v>
      </c>
      <c r="C28" s="306" t="s">
        <v>259</v>
      </c>
      <c r="D28" s="200">
        <f>B28/1000</f>
        <v>0.2</v>
      </c>
      <c r="E28" s="283" t="s">
        <v>671</v>
      </c>
      <c r="F28" s="272"/>
      <c r="G28" s="272"/>
      <c r="H28" s="176">
        <v>22</v>
      </c>
      <c r="I28" s="468">
        <f t="shared" si="0"/>
        <v>2.4199999999999999E-2</v>
      </c>
      <c r="J28" s="223"/>
      <c r="K28" s="223"/>
      <c r="L28" s="223"/>
      <c r="M28" s="223"/>
      <c r="N28" s="273"/>
      <c r="O28" s="178"/>
      <c r="P28" s="223"/>
      <c r="Q28" s="454"/>
      <c r="S28" s="274"/>
      <c r="T28" s="274"/>
      <c r="U28" s="274"/>
      <c r="AJ28" s="454"/>
      <c r="AZ28" s="275"/>
      <c r="BJ28" s="225"/>
      <c r="BK28" s="225"/>
      <c r="BL28" s="225"/>
      <c r="BO28" s="178"/>
      <c r="BP28" s="225"/>
      <c r="BQ28" s="276"/>
      <c r="BR28" s="277"/>
      <c r="BS28" s="225"/>
      <c r="BT28" s="278"/>
      <c r="BX28" s="225"/>
      <c r="BY28" s="225"/>
      <c r="BZ28" s="178"/>
      <c r="CA28" s="178"/>
      <c r="CB28" s="178"/>
      <c r="CC28" s="178"/>
    </row>
    <row r="29" spans="1:81" ht="13.5" thickBot="1" x14ac:dyDescent="0.25">
      <c r="A29" s="307" t="s">
        <v>260</v>
      </c>
      <c r="B29" s="308">
        <v>4.9999999999999998E-8</v>
      </c>
      <c r="C29" s="306"/>
      <c r="D29" s="309">
        <f>B29</f>
        <v>4.9999999999999998E-8</v>
      </c>
      <c r="E29" s="310" t="s">
        <v>490</v>
      </c>
      <c r="F29" s="272"/>
      <c r="G29" s="272"/>
      <c r="H29" s="176">
        <v>23</v>
      </c>
      <c r="I29" s="468">
        <f t="shared" si="0"/>
        <v>2.53E-2</v>
      </c>
      <c r="J29" s="223"/>
      <c r="K29" s="223"/>
      <c r="L29" s="223"/>
      <c r="M29" s="223"/>
      <c r="N29" s="273"/>
      <c r="O29" s="178"/>
      <c r="P29" s="223"/>
      <c r="Q29" s="454"/>
      <c r="S29" s="274"/>
      <c r="T29" s="274"/>
      <c r="U29" s="274"/>
      <c r="AJ29" s="454"/>
      <c r="AZ29" s="275"/>
      <c r="BJ29" s="225"/>
      <c r="BK29" s="225"/>
      <c r="BL29" s="225"/>
      <c r="BO29" s="178"/>
      <c r="BP29" s="225"/>
      <c r="BQ29" s="276"/>
      <c r="BR29" s="277"/>
      <c r="BS29" s="225"/>
      <c r="BT29" s="278"/>
      <c r="BX29" s="225"/>
      <c r="BY29" s="225"/>
      <c r="BZ29" s="178"/>
      <c r="CA29" s="178"/>
      <c r="CB29" s="178"/>
      <c r="CC29" s="178"/>
    </row>
    <row r="30" spans="1:81" ht="13.5" thickBot="1" x14ac:dyDescent="0.25">
      <c r="A30" s="311" t="s">
        <v>28</v>
      </c>
      <c r="B30" s="305">
        <f>'Design Converter'!E17</f>
        <v>22</v>
      </c>
      <c r="C30" s="312" t="s">
        <v>97</v>
      </c>
      <c r="D30" s="313">
        <f>B30/1000000</f>
        <v>2.1999999999999999E-5</v>
      </c>
      <c r="E30" s="314" t="s">
        <v>60</v>
      </c>
      <c r="F30" s="272"/>
      <c r="G30" s="272"/>
      <c r="H30" s="176">
        <v>24</v>
      </c>
      <c r="I30" s="468">
        <f t="shared" si="0"/>
        <v>2.64E-2</v>
      </c>
      <c r="J30" s="223"/>
      <c r="K30" s="223"/>
      <c r="L30" s="223"/>
      <c r="M30" s="223"/>
      <c r="N30" s="273"/>
      <c r="O30" s="178"/>
      <c r="P30" s="223"/>
      <c r="Q30" s="454"/>
      <c r="S30" s="274"/>
      <c r="T30" s="274"/>
      <c r="U30" s="274"/>
      <c r="AJ30" s="454"/>
      <c r="AZ30" s="275"/>
      <c r="BJ30" s="225"/>
      <c r="BK30" s="225"/>
      <c r="BL30" s="225"/>
      <c r="BO30" s="178"/>
      <c r="BP30" s="225"/>
      <c r="BQ30" s="276"/>
      <c r="BR30" s="277"/>
      <c r="BS30" s="225"/>
      <c r="BT30" s="278"/>
      <c r="BX30" s="225"/>
      <c r="BY30" s="225"/>
      <c r="BZ30" s="178"/>
      <c r="CA30" s="178"/>
      <c r="CB30" s="178"/>
      <c r="CC30" s="178"/>
    </row>
    <row r="31" spans="1:81" ht="13.5" thickBot="1" x14ac:dyDescent="0.25">
      <c r="A31" s="307" t="s">
        <v>261</v>
      </c>
      <c r="B31" s="305">
        <f>'Design Converter'!E18</f>
        <v>5</v>
      </c>
      <c r="C31" s="306" t="s">
        <v>259</v>
      </c>
      <c r="D31" s="200">
        <f>B31/1000</f>
        <v>5.0000000000000001E-3</v>
      </c>
      <c r="E31" s="283" t="s">
        <v>262</v>
      </c>
      <c r="F31" s="272"/>
      <c r="G31" s="272"/>
      <c r="H31" s="176">
        <v>25</v>
      </c>
      <c r="I31" s="468">
        <f t="shared" si="0"/>
        <v>2.75E-2</v>
      </c>
      <c r="J31" s="223"/>
      <c r="K31" s="223"/>
      <c r="L31" s="223"/>
      <c r="M31" s="223"/>
      <c r="N31" s="273"/>
      <c r="O31" s="178"/>
      <c r="P31" s="223"/>
      <c r="Q31" s="454"/>
      <c r="S31" s="274"/>
      <c r="T31" s="274"/>
      <c r="U31" s="274"/>
      <c r="AJ31" s="454"/>
      <c r="AZ31" s="275"/>
      <c r="BJ31" s="225"/>
      <c r="BK31" s="225"/>
      <c r="BL31" s="225"/>
      <c r="BO31" s="178"/>
      <c r="BP31" s="225"/>
      <c r="BQ31" s="276"/>
      <c r="BR31" s="277"/>
      <c r="BS31" s="225"/>
      <c r="BT31" s="278"/>
      <c r="BX31" s="225"/>
      <c r="BY31" s="225"/>
      <c r="BZ31" s="178"/>
      <c r="CA31" s="178"/>
      <c r="CB31" s="178"/>
      <c r="CC31" s="178"/>
    </row>
    <row r="32" spans="1:81" ht="13.5" thickBot="1" x14ac:dyDescent="0.25">
      <c r="A32" s="302" t="s">
        <v>14</v>
      </c>
      <c r="B32" s="364">
        <f>'Design Converter'!E21</f>
        <v>100</v>
      </c>
      <c r="C32" s="293" t="s">
        <v>97</v>
      </c>
      <c r="D32" s="294">
        <f>B32/1000000</f>
        <v>1E-4</v>
      </c>
      <c r="E32" s="283" t="s">
        <v>263</v>
      </c>
      <c r="F32" s="272"/>
      <c r="G32" s="272"/>
      <c r="H32" s="176">
        <v>26</v>
      </c>
      <c r="I32" s="468">
        <f t="shared" si="0"/>
        <v>2.86E-2</v>
      </c>
      <c r="J32" s="223"/>
      <c r="K32" s="223"/>
      <c r="L32" s="223"/>
      <c r="M32" s="223"/>
      <c r="N32" s="273"/>
      <c r="O32" s="178"/>
      <c r="P32" s="223"/>
      <c r="Q32" s="454"/>
      <c r="S32" s="274"/>
      <c r="T32" s="274"/>
      <c r="U32" s="274"/>
      <c r="AJ32" s="454"/>
      <c r="AZ32" s="275"/>
      <c r="BJ32" s="225"/>
      <c r="BK32" s="225"/>
      <c r="BL32" s="225"/>
      <c r="BO32" s="178"/>
      <c r="BP32" s="225"/>
      <c r="BQ32" s="276"/>
      <c r="BR32" s="277"/>
      <c r="BS32" s="225"/>
      <c r="BT32" s="278"/>
      <c r="BX32" s="225"/>
      <c r="BY32" s="225"/>
      <c r="BZ32" s="178"/>
      <c r="CA32" s="178"/>
      <c r="CB32" s="178"/>
      <c r="CC32" s="178"/>
    </row>
    <row r="33" spans="1:81" x14ac:dyDescent="0.2">
      <c r="A33" s="307" t="s">
        <v>264</v>
      </c>
      <c r="B33" s="364">
        <f>'Design Converter'!E22</f>
        <v>3</v>
      </c>
      <c r="C33" s="306" t="s">
        <v>259</v>
      </c>
      <c r="D33" s="200">
        <f>B33/1000</f>
        <v>3.0000000000000001E-3</v>
      </c>
      <c r="E33" s="283" t="s">
        <v>265</v>
      </c>
      <c r="F33" s="272"/>
      <c r="G33" s="272"/>
      <c r="H33" s="176">
        <v>27</v>
      </c>
      <c r="I33" s="468">
        <f t="shared" si="0"/>
        <v>2.9700000000000001E-2</v>
      </c>
      <c r="J33" s="223"/>
      <c r="K33" s="223"/>
      <c r="L33" s="223"/>
      <c r="M33" s="223"/>
      <c r="N33" s="273"/>
      <c r="O33" s="178"/>
      <c r="P33" s="223"/>
      <c r="Q33" s="454"/>
      <c r="S33" s="274"/>
      <c r="T33" s="274"/>
      <c r="U33" s="274"/>
      <c r="AJ33" s="454"/>
      <c r="AZ33" s="275"/>
      <c r="BJ33" s="225"/>
      <c r="BK33" s="225"/>
      <c r="BL33" s="225"/>
      <c r="BO33" s="178"/>
      <c r="BP33" s="225"/>
      <c r="BQ33" s="276"/>
      <c r="BR33" s="277"/>
      <c r="BS33" s="225"/>
      <c r="BT33" s="278"/>
      <c r="BX33" s="225"/>
      <c r="BY33" s="225"/>
      <c r="BZ33" s="178"/>
      <c r="CA33" s="178"/>
      <c r="CB33" s="178"/>
      <c r="CC33" s="178"/>
    </row>
    <row r="34" spans="1:81" x14ac:dyDescent="0.2">
      <c r="A34" s="315" t="s">
        <v>405</v>
      </c>
      <c r="B34" s="269"/>
      <c r="C34" s="315" t="s">
        <v>33</v>
      </c>
      <c r="D34" s="316" t="s">
        <v>90</v>
      </c>
      <c r="E34" s="317" t="s">
        <v>41</v>
      </c>
      <c r="F34" s="272"/>
      <c r="G34" s="272"/>
      <c r="H34" s="176">
        <v>28</v>
      </c>
      <c r="I34" s="468">
        <f t="shared" si="0"/>
        <v>3.0800000000000004E-2</v>
      </c>
      <c r="J34" s="223"/>
      <c r="K34" s="223"/>
      <c r="L34" s="223"/>
      <c r="M34" s="223"/>
      <c r="N34" s="273"/>
      <c r="O34" s="178"/>
      <c r="P34" s="223"/>
      <c r="Q34" s="454"/>
      <c r="S34" s="274"/>
      <c r="T34" s="274"/>
      <c r="U34" s="274"/>
      <c r="AJ34" s="454"/>
      <c r="AZ34" s="275"/>
      <c r="BJ34" s="225"/>
      <c r="BK34" s="225"/>
      <c r="BL34" s="225"/>
      <c r="BO34" s="178"/>
      <c r="BP34" s="225"/>
      <c r="BQ34" s="276"/>
      <c r="BR34" s="277"/>
      <c r="BS34" s="225"/>
      <c r="BT34" s="278"/>
      <c r="BX34" s="225"/>
      <c r="BY34" s="225"/>
      <c r="BZ34" s="178"/>
      <c r="CA34" s="178"/>
      <c r="CB34" s="178"/>
      <c r="CC34" s="178"/>
    </row>
    <row r="35" spans="1:81" x14ac:dyDescent="0.2">
      <c r="A35" s="304" t="s">
        <v>410</v>
      </c>
      <c r="B35" s="318">
        <v>1.45</v>
      </c>
      <c r="C35" s="293" t="s">
        <v>1</v>
      </c>
      <c r="D35" s="275">
        <f>B35</f>
        <v>1.45</v>
      </c>
      <c r="E35" s="194" t="s">
        <v>409</v>
      </c>
      <c r="F35" s="272"/>
      <c r="G35" s="272"/>
      <c r="H35" s="176">
        <v>29</v>
      </c>
      <c r="I35" s="468">
        <f t="shared" si="0"/>
        <v>3.1899999999999998E-2</v>
      </c>
      <c r="J35" s="223"/>
      <c r="K35" s="223"/>
      <c r="L35" s="223"/>
      <c r="M35" s="223"/>
      <c r="N35" s="273"/>
      <c r="O35" s="178"/>
      <c r="P35" s="223"/>
      <c r="Q35" s="454"/>
      <c r="S35" s="274"/>
      <c r="T35" s="274"/>
      <c r="U35" s="274"/>
      <c r="AJ35" s="454"/>
      <c r="AZ35" s="275"/>
      <c r="BJ35" s="225"/>
      <c r="BK35" s="225"/>
      <c r="BL35" s="225"/>
      <c r="BO35" s="178"/>
      <c r="BP35" s="225"/>
      <c r="BQ35" s="276"/>
      <c r="BR35" s="277"/>
      <c r="BS35" s="225"/>
      <c r="BT35" s="278"/>
      <c r="BX35" s="225"/>
      <c r="BY35" s="225"/>
      <c r="BZ35" s="178"/>
      <c r="CA35" s="178"/>
      <c r="CB35" s="178"/>
      <c r="CC35" s="178"/>
    </row>
    <row r="36" spans="1:81" ht="13.5" thickBot="1" x14ac:dyDescent="0.25">
      <c r="A36" s="304" t="s">
        <v>418</v>
      </c>
      <c r="B36" s="318">
        <f>B35/5</f>
        <v>0.28999999999999998</v>
      </c>
      <c r="C36" s="293" t="s">
        <v>1</v>
      </c>
      <c r="D36" s="275">
        <f>B36</f>
        <v>0.28999999999999998</v>
      </c>
      <c r="E36" s="194" t="s">
        <v>419</v>
      </c>
      <c r="F36" s="272"/>
      <c r="G36" s="272"/>
      <c r="H36" s="176">
        <v>30</v>
      </c>
      <c r="I36" s="468">
        <f t="shared" si="0"/>
        <v>3.3000000000000002E-2</v>
      </c>
      <c r="J36" s="223"/>
      <c r="K36" s="223"/>
      <c r="L36" s="223"/>
      <c r="M36" s="223"/>
      <c r="N36" s="273"/>
      <c r="O36" s="178"/>
      <c r="P36" s="223"/>
      <c r="Q36" s="454"/>
      <c r="S36" s="274"/>
      <c r="T36" s="274"/>
      <c r="U36" s="274"/>
      <c r="AJ36" s="454"/>
      <c r="AZ36" s="275"/>
      <c r="BJ36" s="225"/>
      <c r="BK36" s="225"/>
      <c r="BL36" s="225"/>
      <c r="BO36" s="178"/>
      <c r="BP36" s="225"/>
      <c r="BQ36" s="276"/>
      <c r="BR36" s="277"/>
      <c r="BS36" s="225"/>
      <c r="BT36" s="278"/>
      <c r="BX36" s="225"/>
      <c r="BY36" s="225"/>
      <c r="BZ36" s="178"/>
      <c r="CA36" s="178"/>
      <c r="CB36" s="178"/>
      <c r="CC36" s="178"/>
    </row>
    <row r="37" spans="1:81" ht="13.5" thickBot="1" x14ac:dyDescent="0.25">
      <c r="A37" s="319" t="s">
        <v>47</v>
      </c>
      <c r="B37" s="544">
        <v>1</v>
      </c>
      <c r="C37" s="293"/>
      <c r="D37" s="275">
        <f>B37</f>
        <v>1</v>
      </c>
      <c r="E37" s="194" t="s">
        <v>420</v>
      </c>
      <c r="F37" s="272"/>
      <c r="G37" s="272"/>
      <c r="H37" s="176">
        <v>31</v>
      </c>
      <c r="I37" s="468">
        <f t="shared" si="0"/>
        <v>3.4099999999999998E-2</v>
      </c>
      <c r="J37" s="223"/>
      <c r="K37" s="223"/>
      <c r="L37" s="223"/>
      <c r="M37" s="223"/>
      <c r="N37" s="273"/>
      <c r="O37" s="178"/>
      <c r="P37" s="223"/>
      <c r="Q37" s="454"/>
      <c r="S37" s="274"/>
      <c r="T37" s="274"/>
      <c r="U37" s="274"/>
      <c r="AJ37" s="454"/>
      <c r="AZ37" s="275"/>
      <c r="BJ37" s="225"/>
      <c r="BK37" s="225"/>
      <c r="BL37" s="225"/>
      <c r="BO37" s="178"/>
      <c r="BP37" s="225"/>
      <c r="BQ37" s="276"/>
      <c r="BR37" s="277"/>
      <c r="BS37" s="225"/>
      <c r="BT37" s="278"/>
      <c r="BX37" s="225"/>
      <c r="BY37" s="225"/>
      <c r="BZ37" s="178"/>
      <c r="CA37" s="178"/>
      <c r="CB37" s="178"/>
      <c r="CC37" s="178"/>
    </row>
    <row r="38" spans="1:81" x14ac:dyDescent="0.2">
      <c r="A38" s="304" t="s">
        <v>24</v>
      </c>
      <c r="B38" s="320">
        <v>290</v>
      </c>
      <c r="C38" s="293" t="s">
        <v>266</v>
      </c>
      <c r="D38" s="295">
        <f>B38/1000000</f>
        <v>2.9E-4</v>
      </c>
      <c r="E38" s="283" t="s">
        <v>492</v>
      </c>
      <c r="H38" s="176">
        <v>32</v>
      </c>
      <c r="I38" s="468">
        <f t="shared" ref="I38:I69" si="24">IF(PLOT_TYPE=1, H38/100*Iout_max, min_I*EXP(H38*rr/100))</f>
        <v>3.5200000000000002E-2</v>
      </c>
      <c r="J38" s="223"/>
      <c r="K38" s="223"/>
      <c r="L38" s="223"/>
      <c r="M38" s="223"/>
      <c r="N38" s="273"/>
      <c r="O38" s="178"/>
      <c r="P38" s="223"/>
      <c r="Q38" s="454"/>
      <c r="S38" s="274"/>
      <c r="T38" s="274"/>
      <c r="U38" s="274"/>
      <c r="AJ38" s="454"/>
      <c r="AZ38" s="275"/>
      <c r="BJ38" s="225"/>
      <c r="BK38" s="225"/>
      <c r="BL38" s="225"/>
      <c r="BO38" s="178"/>
      <c r="BP38" s="225"/>
      <c r="BQ38" s="276"/>
      <c r="BR38" s="277"/>
      <c r="BS38" s="225"/>
      <c r="BT38" s="278"/>
      <c r="BX38" s="225"/>
      <c r="BY38" s="225"/>
      <c r="BZ38" s="178"/>
      <c r="CA38" s="178"/>
      <c r="CB38" s="178"/>
      <c r="CC38" s="178"/>
    </row>
    <row r="39" spans="1:81" ht="13.5" thickBot="1" x14ac:dyDescent="0.25">
      <c r="A39" s="315" t="s">
        <v>402</v>
      </c>
      <c r="B39" s="321"/>
      <c r="C39" s="315" t="s">
        <v>33</v>
      </c>
      <c r="D39" s="316" t="s">
        <v>90</v>
      </c>
      <c r="E39" s="322" t="s">
        <v>41</v>
      </c>
      <c r="H39" s="176">
        <v>33</v>
      </c>
      <c r="I39" s="468">
        <f t="shared" si="24"/>
        <v>3.6299999999999999E-2</v>
      </c>
      <c r="J39" s="223"/>
      <c r="K39" s="223"/>
      <c r="L39" s="223"/>
      <c r="M39" s="223"/>
      <c r="N39" s="273"/>
      <c r="O39" s="178"/>
      <c r="P39" s="223"/>
      <c r="Q39" s="454"/>
      <c r="S39" s="274"/>
      <c r="T39" s="274"/>
      <c r="U39" s="274"/>
      <c r="AJ39" s="454"/>
      <c r="AZ39" s="275"/>
      <c r="BJ39" s="225"/>
      <c r="BK39" s="225"/>
      <c r="BL39" s="225"/>
      <c r="BO39" s="178"/>
      <c r="BP39" s="225"/>
      <c r="BQ39" s="276"/>
      <c r="BR39" s="277"/>
      <c r="BS39" s="225"/>
      <c r="BT39" s="278"/>
      <c r="BX39" s="225"/>
      <c r="BY39" s="225"/>
      <c r="BZ39" s="178"/>
      <c r="CA39" s="178"/>
      <c r="CB39" s="178"/>
      <c r="CC39" s="178"/>
    </row>
    <row r="40" spans="1:81" x14ac:dyDescent="0.2">
      <c r="A40" s="323" t="s">
        <v>403</v>
      </c>
      <c r="B40" s="324">
        <v>350</v>
      </c>
      <c r="C40" s="284" t="s">
        <v>259</v>
      </c>
      <c r="D40" s="177">
        <f>B40/1000</f>
        <v>0.35</v>
      </c>
      <c r="E40" s="283" t="s">
        <v>407</v>
      </c>
      <c r="H40" s="176">
        <v>34</v>
      </c>
      <c r="I40" s="468">
        <f t="shared" si="24"/>
        <v>3.7400000000000003E-2</v>
      </c>
      <c r="J40" s="223"/>
      <c r="K40" s="223"/>
      <c r="L40" s="223"/>
      <c r="M40" s="223"/>
      <c r="N40" s="273"/>
      <c r="O40" s="178"/>
      <c r="P40" s="223"/>
      <c r="Q40" s="454"/>
      <c r="S40" s="274"/>
      <c r="T40" s="274"/>
      <c r="U40" s="274"/>
      <c r="AJ40" s="454"/>
      <c r="AZ40" s="275"/>
      <c r="BJ40" s="225"/>
      <c r="BK40" s="225"/>
      <c r="BL40" s="225"/>
      <c r="BO40" s="178"/>
      <c r="BP40" s="225"/>
      <c r="BQ40" s="276"/>
      <c r="BR40" s="277"/>
      <c r="BS40" s="225"/>
      <c r="BT40" s="278"/>
      <c r="BX40" s="225"/>
      <c r="BY40" s="225"/>
      <c r="BZ40" s="178"/>
      <c r="CA40" s="178"/>
      <c r="CB40" s="178"/>
      <c r="CC40" s="178"/>
    </row>
    <row r="41" spans="1:81" ht="13.5" thickBot="1" x14ac:dyDescent="0.25">
      <c r="A41" s="176" t="s">
        <v>697</v>
      </c>
      <c r="B41" s="176">
        <v>4500</v>
      </c>
      <c r="C41" s="663" t="s">
        <v>698</v>
      </c>
      <c r="D41" s="177">
        <f>B41/1000000</f>
        <v>4.4999999999999997E-3</v>
      </c>
      <c r="E41" s="664" t="s">
        <v>699</v>
      </c>
      <c r="H41" s="176">
        <v>35</v>
      </c>
      <c r="I41" s="468">
        <f t="shared" si="24"/>
        <v>3.85E-2</v>
      </c>
      <c r="J41" s="223"/>
      <c r="K41" s="223"/>
      <c r="L41" s="223"/>
      <c r="M41" s="223"/>
      <c r="N41" s="273"/>
      <c r="O41" s="178"/>
      <c r="P41" s="223"/>
      <c r="Q41" s="454"/>
      <c r="S41" s="274"/>
      <c r="T41" s="274"/>
      <c r="U41" s="274"/>
      <c r="AJ41" s="454"/>
      <c r="AZ41" s="275"/>
      <c r="BJ41" s="225"/>
      <c r="BK41" s="225"/>
      <c r="BL41" s="225"/>
      <c r="BO41" s="178"/>
      <c r="BP41" s="225"/>
      <c r="BQ41" s="276"/>
      <c r="BR41" s="277"/>
      <c r="BS41" s="225"/>
      <c r="BT41" s="278"/>
      <c r="BX41" s="225"/>
      <c r="BY41" s="225"/>
      <c r="BZ41" s="178"/>
      <c r="CA41" s="178"/>
      <c r="CB41" s="178"/>
      <c r="CC41" s="178"/>
    </row>
    <row r="42" spans="1:81" ht="13.5" thickBot="1" x14ac:dyDescent="0.25">
      <c r="A42" s="304" t="s">
        <v>267</v>
      </c>
      <c r="B42" s="325"/>
      <c r="C42" s="326" t="s">
        <v>268</v>
      </c>
      <c r="D42" s="177"/>
      <c r="E42" s="283" t="s">
        <v>267</v>
      </c>
      <c r="H42" s="176">
        <v>36</v>
      </c>
      <c r="I42" s="468">
        <f t="shared" si="24"/>
        <v>3.9599999999999996E-2</v>
      </c>
      <c r="J42" s="223"/>
      <c r="K42" s="223"/>
      <c r="L42" s="223"/>
      <c r="M42" s="223"/>
      <c r="N42" s="273"/>
      <c r="O42" s="178"/>
      <c r="P42" s="223"/>
      <c r="Q42" s="454"/>
      <c r="S42" s="274"/>
      <c r="T42" s="274"/>
      <c r="U42" s="274"/>
      <c r="AJ42" s="454"/>
      <c r="AZ42" s="275"/>
      <c r="BJ42" s="225"/>
      <c r="BK42" s="225"/>
      <c r="BL42" s="225"/>
      <c r="BO42" s="178"/>
      <c r="BP42" s="225"/>
      <c r="BQ42" s="276"/>
      <c r="BR42" s="277"/>
      <c r="BS42" s="225"/>
      <c r="BT42" s="278"/>
      <c r="BX42" s="225"/>
      <c r="BY42" s="225"/>
      <c r="BZ42" s="178"/>
      <c r="CA42" s="178"/>
      <c r="CB42" s="178"/>
      <c r="CC42" s="178"/>
    </row>
    <row r="43" spans="1:81" ht="13.5" thickBot="1" x14ac:dyDescent="0.25">
      <c r="A43" s="304" t="s">
        <v>404</v>
      </c>
      <c r="B43" s="324">
        <v>2.5</v>
      </c>
      <c r="C43" s="293" t="s">
        <v>31</v>
      </c>
      <c r="D43" s="177">
        <f>B43/1000000000</f>
        <v>2.5000000000000001E-9</v>
      </c>
      <c r="E43" s="283" t="s">
        <v>406</v>
      </c>
      <c r="H43" s="176">
        <v>37</v>
      </c>
      <c r="I43" s="468">
        <f t="shared" si="24"/>
        <v>4.07E-2</v>
      </c>
      <c r="J43" s="223"/>
      <c r="K43" s="223"/>
      <c r="L43" s="223"/>
      <c r="M43" s="223"/>
      <c r="N43" s="273"/>
      <c r="O43" s="178"/>
      <c r="P43" s="223"/>
      <c r="Q43" s="454"/>
      <c r="S43" s="274"/>
      <c r="T43" s="274"/>
      <c r="U43" s="274"/>
      <c r="AJ43" s="454"/>
      <c r="AZ43" s="275"/>
      <c r="BJ43" s="225"/>
      <c r="BK43" s="225"/>
      <c r="BL43" s="225"/>
      <c r="BO43" s="178"/>
      <c r="BP43" s="225"/>
      <c r="BQ43" s="276"/>
      <c r="BR43" s="277"/>
      <c r="BS43" s="225"/>
      <c r="BT43" s="278"/>
      <c r="BX43" s="225"/>
      <c r="BY43" s="225"/>
      <c r="BZ43" s="178"/>
      <c r="CA43" s="178"/>
      <c r="CB43" s="178"/>
      <c r="CC43" s="178"/>
    </row>
    <row r="44" spans="1:81" ht="13.5" thickBot="1" x14ac:dyDescent="0.25">
      <c r="A44" s="307" t="s">
        <v>241</v>
      </c>
      <c r="B44" s="324">
        <v>50</v>
      </c>
      <c r="C44" s="293" t="s">
        <v>15</v>
      </c>
      <c r="D44" s="327">
        <f>B44/1000000000000</f>
        <v>5.0000000000000002E-11</v>
      </c>
      <c r="E44" s="283" t="s">
        <v>330</v>
      </c>
      <c r="H44" s="176">
        <v>38</v>
      </c>
      <c r="I44" s="468">
        <f t="shared" si="24"/>
        <v>4.1800000000000004E-2</v>
      </c>
      <c r="J44" s="223"/>
      <c r="K44" s="223"/>
      <c r="L44" s="223"/>
      <c r="M44" s="223"/>
      <c r="N44" s="273"/>
      <c r="O44" s="178"/>
      <c r="P44" s="223"/>
      <c r="Q44" s="454"/>
      <c r="S44" s="274"/>
      <c r="T44" s="274"/>
      <c r="U44" s="274"/>
      <c r="AJ44" s="454"/>
      <c r="AZ44" s="275"/>
      <c r="BJ44" s="225"/>
      <c r="BK44" s="225"/>
      <c r="BL44" s="225"/>
      <c r="BO44" s="178"/>
      <c r="BP44" s="225"/>
      <c r="BQ44" s="276"/>
      <c r="BR44" s="277"/>
      <c r="BS44" s="225"/>
      <c r="BT44" s="278"/>
      <c r="BX44" s="225"/>
      <c r="BY44" s="225"/>
      <c r="BZ44" s="178"/>
      <c r="CA44" s="178"/>
      <c r="CB44" s="178"/>
      <c r="CC44" s="178"/>
    </row>
    <row r="45" spans="1:81" x14ac:dyDescent="0.2">
      <c r="A45" s="330" t="s">
        <v>329</v>
      </c>
      <c r="B45" s="324">
        <v>50</v>
      </c>
      <c r="C45" s="293" t="s">
        <v>15</v>
      </c>
      <c r="D45" s="295">
        <f>B45/1000000000000</f>
        <v>5.0000000000000002E-11</v>
      </c>
      <c r="E45" s="283" t="s">
        <v>483</v>
      </c>
      <c r="H45" s="176">
        <v>39</v>
      </c>
      <c r="I45" s="468">
        <f t="shared" si="24"/>
        <v>4.2900000000000001E-2</v>
      </c>
      <c r="J45" s="223"/>
      <c r="K45" s="223"/>
      <c r="L45" s="223"/>
      <c r="M45" s="223"/>
      <c r="N45" s="273"/>
      <c r="O45" s="178"/>
      <c r="P45" s="223"/>
      <c r="Q45" s="454"/>
      <c r="S45" s="274"/>
      <c r="T45" s="274"/>
      <c r="U45" s="274"/>
      <c r="AJ45" s="454"/>
      <c r="AZ45" s="275"/>
      <c r="BJ45" s="225"/>
      <c r="BK45" s="225"/>
      <c r="BL45" s="225"/>
      <c r="BO45" s="178"/>
      <c r="BP45" s="225"/>
      <c r="BQ45" s="276"/>
      <c r="BR45" s="277"/>
      <c r="BS45" s="225"/>
      <c r="BT45" s="278"/>
      <c r="BX45" s="225"/>
      <c r="BY45" s="225"/>
      <c r="BZ45" s="178"/>
      <c r="CA45" s="178"/>
      <c r="CB45" s="178"/>
      <c r="CC45" s="178"/>
    </row>
    <row r="46" spans="1:81" ht="13.5" thickBot="1" x14ac:dyDescent="0.25">
      <c r="A46" s="315" t="s">
        <v>408</v>
      </c>
      <c r="B46" s="328"/>
      <c r="C46" s="315" t="s">
        <v>33</v>
      </c>
      <c r="D46" s="316" t="s">
        <v>90</v>
      </c>
      <c r="E46" s="329" t="s">
        <v>41</v>
      </c>
      <c r="H46" s="176">
        <v>40</v>
      </c>
      <c r="I46" s="468">
        <f t="shared" si="24"/>
        <v>4.4000000000000004E-2</v>
      </c>
      <c r="J46" s="223"/>
      <c r="K46" s="223"/>
      <c r="L46" s="223"/>
      <c r="M46" s="223"/>
      <c r="N46" s="273"/>
      <c r="O46" s="178"/>
      <c r="P46" s="223"/>
      <c r="Q46" s="454"/>
      <c r="S46" s="274"/>
      <c r="T46" s="274"/>
      <c r="U46" s="274"/>
      <c r="AJ46" s="454"/>
      <c r="AZ46" s="275"/>
      <c r="BJ46" s="225"/>
      <c r="BK46" s="225"/>
      <c r="BL46" s="225"/>
      <c r="BO46" s="178"/>
      <c r="BP46" s="225"/>
      <c r="BQ46" s="276"/>
      <c r="BR46" s="277"/>
      <c r="BS46" s="225"/>
      <c r="BT46" s="278"/>
      <c r="BX46" s="225"/>
      <c r="BY46" s="225"/>
      <c r="BZ46" s="178"/>
      <c r="CA46" s="178"/>
      <c r="CB46" s="178"/>
      <c r="CC46" s="178"/>
    </row>
    <row r="47" spans="1:81" ht="13.5" thickBot="1" x14ac:dyDescent="0.25">
      <c r="A47" s="323" t="s">
        <v>669</v>
      </c>
      <c r="B47" s="324">
        <f>'Design Converter'!E41</f>
        <v>0.25</v>
      </c>
      <c r="C47" s="281" t="s">
        <v>0</v>
      </c>
      <c r="D47" s="177">
        <f>B47</f>
        <v>0.25</v>
      </c>
      <c r="E47" s="283" t="s">
        <v>668</v>
      </c>
      <c r="H47" s="176">
        <v>41</v>
      </c>
      <c r="I47" s="468">
        <f t="shared" si="24"/>
        <v>4.5099999999999994E-2</v>
      </c>
      <c r="J47" s="223"/>
      <c r="K47" s="223"/>
      <c r="L47" s="223"/>
      <c r="M47" s="223"/>
      <c r="N47" s="273"/>
      <c r="O47" s="178"/>
      <c r="P47" s="223"/>
      <c r="Q47" s="454"/>
      <c r="S47" s="274"/>
      <c r="T47" s="274"/>
      <c r="U47" s="274"/>
      <c r="AJ47" s="454"/>
      <c r="AZ47" s="275"/>
      <c r="BJ47" s="225"/>
      <c r="BK47" s="225"/>
      <c r="BL47" s="225"/>
      <c r="BO47" s="178"/>
      <c r="BP47" s="225"/>
      <c r="BQ47" s="276"/>
      <c r="BR47" s="277"/>
      <c r="BS47" s="225"/>
      <c r="BT47" s="278"/>
      <c r="BX47" s="225"/>
      <c r="BY47" s="225"/>
      <c r="BZ47" s="178"/>
      <c r="CA47" s="178"/>
      <c r="CB47" s="178"/>
      <c r="CC47" s="178"/>
    </row>
    <row r="48" spans="1:81" ht="13.5" thickBot="1" x14ac:dyDescent="0.25">
      <c r="A48" s="323" t="s">
        <v>670</v>
      </c>
      <c r="B48" s="324">
        <f>'Design Converter'!E42</f>
        <v>0.3</v>
      </c>
      <c r="C48" s="281" t="s">
        <v>0</v>
      </c>
      <c r="D48" s="177">
        <f>B48</f>
        <v>0.3</v>
      </c>
      <c r="E48" s="283" t="s">
        <v>667</v>
      </c>
      <c r="H48" s="176">
        <v>42</v>
      </c>
      <c r="I48" s="468">
        <f t="shared" si="24"/>
        <v>4.6199999999999998E-2</v>
      </c>
      <c r="J48" s="223"/>
      <c r="K48" s="223"/>
      <c r="L48" s="223"/>
      <c r="M48" s="223"/>
      <c r="N48" s="273"/>
      <c r="O48" s="178"/>
      <c r="P48" s="223"/>
      <c r="Q48" s="454"/>
      <c r="S48" s="274"/>
      <c r="T48" s="274"/>
      <c r="U48" s="274"/>
      <c r="AJ48" s="454"/>
      <c r="AZ48" s="275"/>
      <c r="BJ48" s="225"/>
      <c r="BK48" s="225"/>
      <c r="BL48" s="225"/>
      <c r="BO48" s="178"/>
      <c r="BP48" s="225"/>
      <c r="BQ48" s="276"/>
      <c r="BR48" s="277"/>
      <c r="BS48" s="225"/>
      <c r="BT48" s="278"/>
      <c r="BX48" s="225"/>
      <c r="BY48" s="225"/>
      <c r="BZ48" s="178"/>
      <c r="CA48" s="178"/>
      <c r="CB48" s="178"/>
      <c r="CC48" s="178"/>
    </row>
    <row r="49" spans="1:81" ht="13.5" thickBot="1" x14ac:dyDescent="0.25">
      <c r="A49" s="323" t="s">
        <v>269</v>
      </c>
      <c r="B49" s="324">
        <v>100</v>
      </c>
      <c r="C49" s="284" t="s">
        <v>259</v>
      </c>
      <c r="D49" s="177">
        <f>B49*0.001</f>
        <v>0.1</v>
      </c>
      <c r="E49" s="283" t="s">
        <v>270</v>
      </c>
      <c r="H49" s="176">
        <v>43</v>
      </c>
      <c r="I49" s="468">
        <f t="shared" si="24"/>
        <v>4.7300000000000002E-2</v>
      </c>
      <c r="J49" s="223"/>
      <c r="K49" s="223"/>
      <c r="L49" s="223"/>
      <c r="M49" s="223"/>
      <c r="N49" s="273"/>
      <c r="O49" s="178"/>
      <c r="P49" s="223"/>
      <c r="Q49" s="454"/>
      <c r="S49" s="274"/>
      <c r="T49" s="274"/>
      <c r="U49" s="274"/>
      <c r="AJ49" s="454"/>
      <c r="AZ49" s="275"/>
      <c r="BJ49" s="225"/>
      <c r="BK49" s="225"/>
      <c r="BL49" s="225"/>
      <c r="BO49" s="178"/>
      <c r="BP49" s="225"/>
      <c r="BQ49" s="276"/>
      <c r="BR49" s="277"/>
      <c r="BS49" s="225"/>
      <c r="BT49" s="278"/>
      <c r="BX49" s="225"/>
      <c r="BY49" s="225"/>
      <c r="BZ49" s="178"/>
      <c r="CA49" s="178"/>
      <c r="CB49" s="178"/>
      <c r="CC49" s="178"/>
    </row>
    <row r="50" spans="1:81" ht="13.5" thickBot="1" x14ac:dyDescent="0.25">
      <c r="A50" s="304" t="s">
        <v>411</v>
      </c>
      <c r="B50" s="324">
        <v>2</v>
      </c>
      <c r="C50" s="293" t="s">
        <v>31</v>
      </c>
      <c r="D50" s="295">
        <f>B50*0.000000001</f>
        <v>2.0000000000000001E-9</v>
      </c>
      <c r="E50" s="283" t="s">
        <v>271</v>
      </c>
      <c r="H50" s="176">
        <v>44</v>
      </c>
      <c r="I50" s="468">
        <f t="shared" si="24"/>
        <v>4.8399999999999999E-2</v>
      </c>
      <c r="J50" s="223"/>
      <c r="K50" s="223"/>
      <c r="L50" s="223"/>
      <c r="M50" s="223"/>
      <c r="N50" s="273"/>
      <c r="O50" s="178"/>
      <c r="P50" s="223"/>
      <c r="Q50" s="454"/>
      <c r="S50" s="274"/>
      <c r="T50" s="274"/>
      <c r="U50" s="274"/>
      <c r="AJ50" s="454"/>
      <c r="AZ50" s="275"/>
      <c r="BJ50" s="225"/>
      <c r="BK50" s="225"/>
      <c r="BL50" s="225"/>
      <c r="BO50" s="178"/>
      <c r="BP50" s="225"/>
      <c r="BQ50" s="276"/>
      <c r="BR50" s="277"/>
      <c r="BS50" s="225"/>
      <c r="BT50" s="278"/>
      <c r="BX50" s="225"/>
      <c r="BY50" s="225"/>
      <c r="BZ50" s="178"/>
      <c r="CA50" s="178"/>
      <c r="CB50" s="178"/>
      <c r="CC50" s="178"/>
    </row>
    <row r="51" spans="1:81" ht="13.5" thickBot="1" x14ac:dyDescent="0.25">
      <c r="A51" s="304" t="s">
        <v>412</v>
      </c>
      <c r="B51" s="324">
        <v>10</v>
      </c>
      <c r="C51" s="293" t="s">
        <v>32</v>
      </c>
      <c r="D51" s="295">
        <f>B51*0.000000001</f>
        <v>1E-8</v>
      </c>
      <c r="E51" s="283" t="s">
        <v>272</v>
      </c>
      <c r="H51" s="176">
        <v>45</v>
      </c>
      <c r="I51" s="468">
        <f t="shared" si="24"/>
        <v>4.9500000000000002E-2</v>
      </c>
      <c r="J51" s="223"/>
      <c r="K51" s="223"/>
      <c r="L51" s="223"/>
      <c r="M51" s="223"/>
      <c r="N51" s="273"/>
      <c r="O51" s="178"/>
      <c r="P51" s="223"/>
      <c r="Q51" s="454"/>
      <c r="S51" s="274"/>
      <c r="T51" s="274"/>
      <c r="U51" s="274"/>
      <c r="AJ51" s="454"/>
      <c r="AZ51" s="275"/>
      <c r="BJ51" s="225"/>
      <c r="BK51" s="225"/>
      <c r="BL51" s="225"/>
      <c r="BO51" s="178"/>
      <c r="BP51" s="225"/>
      <c r="BQ51" s="276"/>
      <c r="BR51" s="277"/>
      <c r="BS51" s="225"/>
      <c r="BT51" s="278"/>
      <c r="BX51" s="225"/>
      <c r="BY51" s="225"/>
      <c r="BZ51" s="178"/>
      <c r="CA51" s="178"/>
      <c r="CB51" s="178"/>
      <c r="CC51" s="178"/>
    </row>
    <row r="52" spans="1:81" x14ac:dyDescent="0.2">
      <c r="A52" s="330" t="s">
        <v>501</v>
      </c>
      <c r="B52" s="324">
        <v>0</v>
      </c>
      <c r="C52" s="281" t="s">
        <v>273</v>
      </c>
      <c r="D52" s="295">
        <f>B52/1000000</f>
        <v>0</v>
      </c>
      <c r="E52" s="283" t="s">
        <v>274</v>
      </c>
      <c r="H52" s="176">
        <v>46</v>
      </c>
      <c r="I52" s="468">
        <f t="shared" si="24"/>
        <v>5.0599999999999999E-2</v>
      </c>
      <c r="J52" s="223"/>
      <c r="K52" s="223"/>
      <c r="L52" s="223"/>
      <c r="M52" s="223"/>
      <c r="N52" s="273"/>
      <c r="O52" s="178"/>
      <c r="P52" s="223"/>
      <c r="Q52" s="454"/>
      <c r="S52" s="274"/>
      <c r="T52" s="274"/>
      <c r="U52" s="274"/>
      <c r="AJ52" s="454"/>
      <c r="AZ52" s="275"/>
      <c r="BJ52" s="225"/>
      <c r="BK52" s="225"/>
      <c r="BL52" s="225"/>
      <c r="BO52" s="178"/>
      <c r="BP52" s="225"/>
      <c r="BQ52" s="276"/>
      <c r="BR52" s="277"/>
      <c r="BS52" s="225"/>
      <c r="BT52" s="278"/>
      <c r="BX52" s="225"/>
      <c r="BY52" s="225"/>
      <c r="BZ52" s="178"/>
      <c r="CA52" s="178"/>
      <c r="CB52" s="178"/>
      <c r="CC52" s="178"/>
    </row>
    <row r="53" spans="1:81" x14ac:dyDescent="0.2">
      <c r="A53" s="176" t="s">
        <v>701</v>
      </c>
      <c r="B53" s="203">
        <f>'Design Converter'!E43</f>
        <v>77</v>
      </c>
      <c r="C53" s="663" t="s">
        <v>84</v>
      </c>
      <c r="D53" s="203">
        <f>B53</f>
        <v>77</v>
      </c>
      <c r="E53" s="176" t="s">
        <v>700</v>
      </c>
      <c r="H53" s="176">
        <v>47</v>
      </c>
      <c r="I53" s="468">
        <f t="shared" si="24"/>
        <v>5.1699999999999996E-2</v>
      </c>
      <c r="J53" s="223"/>
      <c r="K53" s="223"/>
      <c r="L53" s="223"/>
      <c r="M53" s="223"/>
      <c r="N53" s="273"/>
      <c r="O53" s="178"/>
      <c r="P53" s="223"/>
      <c r="Q53" s="454"/>
      <c r="S53" s="274"/>
      <c r="T53" s="274"/>
      <c r="U53" s="274"/>
      <c r="AJ53" s="454"/>
      <c r="AZ53" s="275"/>
      <c r="BJ53" s="225"/>
      <c r="BK53" s="225"/>
      <c r="BL53" s="225"/>
      <c r="BO53" s="178"/>
      <c r="BP53" s="225"/>
      <c r="BQ53" s="276"/>
      <c r="BR53" s="277"/>
      <c r="BS53" s="225"/>
      <c r="BT53" s="278"/>
      <c r="BX53" s="225"/>
      <c r="BY53" s="225"/>
      <c r="BZ53" s="178"/>
      <c r="CA53" s="178"/>
      <c r="CB53" s="178"/>
      <c r="CC53" s="178"/>
    </row>
    <row r="54" spans="1:81" x14ac:dyDescent="0.2">
      <c r="A54" s="326"/>
      <c r="H54" s="176">
        <v>48</v>
      </c>
      <c r="I54" s="468">
        <f t="shared" si="24"/>
        <v>5.28E-2</v>
      </c>
      <c r="J54" s="223"/>
      <c r="K54" s="223"/>
      <c r="L54" s="223"/>
      <c r="M54" s="223"/>
      <c r="N54" s="273"/>
      <c r="O54" s="178"/>
      <c r="P54" s="223"/>
      <c r="Q54" s="454"/>
      <c r="S54" s="274"/>
      <c r="T54" s="274"/>
      <c r="U54" s="274"/>
      <c r="AJ54" s="454"/>
      <c r="AZ54" s="275"/>
      <c r="BJ54" s="225"/>
      <c r="BK54" s="225"/>
      <c r="BL54" s="225"/>
      <c r="BO54" s="178"/>
      <c r="BP54" s="225"/>
      <c r="BQ54" s="276"/>
      <c r="BR54" s="277"/>
      <c r="BS54" s="225"/>
      <c r="BT54" s="278"/>
      <c r="BX54" s="225"/>
      <c r="BY54" s="225"/>
      <c r="BZ54" s="178"/>
      <c r="CA54" s="178"/>
      <c r="CB54" s="178"/>
      <c r="CC54" s="178"/>
    </row>
    <row r="55" spans="1:81" x14ac:dyDescent="0.2">
      <c r="H55" s="176">
        <v>49</v>
      </c>
      <c r="I55" s="468">
        <f t="shared" si="24"/>
        <v>5.3899999999999997E-2</v>
      </c>
      <c r="J55" s="223"/>
      <c r="K55" s="223"/>
      <c r="L55" s="223"/>
      <c r="M55" s="223"/>
      <c r="N55" s="273"/>
      <c r="O55" s="178"/>
      <c r="P55" s="223"/>
      <c r="Q55" s="454"/>
      <c r="S55" s="274"/>
      <c r="T55" s="274"/>
      <c r="U55" s="274"/>
      <c r="AJ55" s="454"/>
      <c r="AZ55" s="275"/>
      <c r="BJ55" s="225"/>
      <c r="BK55" s="225"/>
      <c r="BL55" s="225"/>
      <c r="BO55" s="178"/>
      <c r="BP55" s="225"/>
      <c r="BQ55" s="276"/>
      <c r="BR55" s="277"/>
      <c r="BS55" s="225"/>
      <c r="BT55" s="278"/>
      <c r="BX55" s="225"/>
      <c r="BY55" s="225"/>
      <c r="BZ55" s="178"/>
      <c r="CA55" s="178"/>
      <c r="CB55" s="178"/>
      <c r="CC55" s="178"/>
    </row>
    <row r="56" spans="1:81" x14ac:dyDescent="0.2">
      <c r="H56" s="176">
        <v>50</v>
      </c>
      <c r="I56" s="468">
        <f t="shared" si="24"/>
        <v>5.5E-2</v>
      </c>
      <c r="J56" s="223"/>
      <c r="K56" s="223"/>
      <c r="L56" s="223"/>
      <c r="M56" s="223"/>
      <c r="N56" s="273"/>
      <c r="O56" s="178"/>
      <c r="P56" s="223"/>
      <c r="Q56" s="454"/>
      <c r="S56" s="274"/>
      <c r="T56" s="274"/>
      <c r="U56" s="274"/>
      <c r="AJ56" s="454"/>
      <c r="AZ56" s="275"/>
      <c r="BJ56" s="225"/>
      <c r="BK56" s="225"/>
      <c r="BL56" s="225"/>
      <c r="BO56" s="178"/>
      <c r="BP56" s="225"/>
      <c r="BQ56" s="276"/>
      <c r="BR56" s="277"/>
      <c r="BS56" s="225"/>
      <c r="BT56" s="278"/>
      <c r="BX56" s="225"/>
      <c r="BY56" s="225"/>
      <c r="BZ56" s="178"/>
      <c r="CA56" s="178"/>
      <c r="CB56" s="178"/>
      <c r="CC56" s="178"/>
    </row>
    <row r="57" spans="1:81" x14ac:dyDescent="0.2">
      <c r="H57" s="176">
        <v>51</v>
      </c>
      <c r="I57" s="468">
        <f t="shared" si="24"/>
        <v>5.6100000000000004E-2</v>
      </c>
      <c r="J57" s="223"/>
      <c r="K57" s="223"/>
      <c r="L57" s="223"/>
      <c r="M57" s="223"/>
      <c r="N57" s="273"/>
      <c r="O57" s="178"/>
      <c r="P57" s="223"/>
      <c r="Q57" s="454"/>
      <c r="S57" s="274"/>
      <c r="T57" s="274"/>
      <c r="U57" s="274"/>
      <c r="AJ57" s="454"/>
      <c r="AZ57" s="275"/>
      <c r="BJ57" s="225"/>
      <c r="BK57" s="225"/>
      <c r="BL57" s="225"/>
      <c r="BO57" s="178"/>
      <c r="BP57" s="225"/>
      <c r="BQ57" s="276"/>
      <c r="BR57" s="277"/>
      <c r="BS57" s="225"/>
      <c r="BT57" s="278"/>
      <c r="BX57" s="225"/>
      <c r="BY57" s="225"/>
      <c r="BZ57" s="178"/>
      <c r="CA57" s="178"/>
      <c r="CB57" s="178"/>
      <c r="CC57" s="178"/>
    </row>
    <row r="58" spans="1:81" x14ac:dyDescent="0.2">
      <c r="H58" s="176">
        <v>52</v>
      </c>
      <c r="I58" s="468">
        <f t="shared" si="24"/>
        <v>5.7200000000000001E-2</v>
      </c>
      <c r="J58" s="223"/>
      <c r="K58" s="223"/>
      <c r="L58" s="223"/>
      <c r="M58" s="223"/>
      <c r="N58" s="273"/>
      <c r="O58" s="178"/>
      <c r="P58" s="223"/>
      <c r="Q58" s="454"/>
      <c r="S58" s="274"/>
      <c r="T58" s="274"/>
      <c r="U58" s="274"/>
      <c r="AJ58" s="454"/>
      <c r="AZ58" s="275"/>
      <c r="BJ58" s="225"/>
      <c r="BK58" s="225"/>
      <c r="BL58" s="225"/>
      <c r="BO58" s="178"/>
      <c r="BP58" s="225"/>
      <c r="BQ58" s="276"/>
      <c r="BR58" s="277"/>
      <c r="BS58" s="225"/>
      <c r="BT58" s="278"/>
      <c r="BX58" s="225"/>
      <c r="BY58" s="225"/>
      <c r="BZ58" s="178"/>
      <c r="CA58" s="178"/>
      <c r="CB58" s="178"/>
      <c r="CC58" s="178"/>
    </row>
    <row r="59" spans="1:81" x14ac:dyDescent="0.2">
      <c r="H59" s="176">
        <v>53</v>
      </c>
      <c r="I59" s="468">
        <f t="shared" si="24"/>
        <v>5.8300000000000005E-2</v>
      </c>
      <c r="J59" s="223"/>
      <c r="K59" s="223"/>
      <c r="L59" s="223"/>
      <c r="M59" s="223"/>
      <c r="N59" s="273"/>
      <c r="O59" s="178"/>
      <c r="P59" s="223"/>
      <c r="Q59" s="454"/>
      <c r="S59" s="274"/>
      <c r="T59" s="274"/>
      <c r="U59" s="274"/>
      <c r="AJ59" s="454"/>
      <c r="AZ59" s="275"/>
      <c r="BJ59" s="225"/>
      <c r="BK59" s="225"/>
      <c r="BL59" s="225"/>
      <c r="BO59" s="178"/>
      <c r="BP59" s="225"/>
      <c r="BQ59" s="276"/>
      <c r="BR59" s="277"/>
      <c r="BS59" s="225"/>
      <c r="BT59" s="278"/>
      <c r="BX59" s="225"/>
      <c r="BY59" s="225"/>
      <c r="BZ59" s="178"/>
      <c r="CA59" s="178"/>
      <c r="CB59" s="178"/>
      <c r="CC59" s="178"/>
    </row>
    <row r="60" spans="1:81" x14ac:dyDescent="0.2">
      <c r="H60" s="176">
        <v>54</v>
      </c>
      <c r="I60" s="468">
        <f t="shared" si="24"/>
        <v>5.9400000000000001E-2</v>
      </c>
      <c r="J60" s="223"/>
      <c r="K60" s="223"/>
      <c r="L60" s="223"/>
      <c r="M60" s="223"/>
      <c r="N60" s="273"/>
      <c r="O60" s="178"/>
      <c r="P60" s="223"/>
      <c r="Q60" s="454"/>
      <c r="S60" s="274"/>
      <c r="T60" s="274"/>
      <c r="U60" s="274"/>
      <c r="AJ60" s="454"/>
      <c r="AZ60" s="275"/>
      <c r="BJ60" s="225"/>
      <c r="BK60" s="225"/>
      <c r="BL60" s="225"/>
      <c r="BO60" s="178"/>
      <c r="BP60" s="225"/>
      <c r="BQ60" s="276"/>
      <c r="BR60" s="277"/>
      <c r="BS60" s="225"/>
      <c r="BT60" s="278"/>
      <c r="BX60" s="225"/>
      <c r="BY60" s="225"/>
      <c r="BZ60" s="178"/>
      <c r="CA60" s="178"/>
      <c r="CB60" s="178"/>
      <c r="CC60" s="178"/>
    </row>
    <row r="61" spans="1:81" x14ac:dyDescent="0.2">
      <c r="H61" s="176">
        <v>55</v>
      </c>
      <c r="I61" s="468">
        <f t="shared" si="24"/>
        <v>6.0500000000000005E-2</v>
      </c>
      <c r="J61" s="223"/>
      <c r="K61" s="223"/>
      <c r="L61" s="223"/>
      <c r="M61" s="223"/>
      <c r="N61" s="273"/>
      <c r="O61" s="178"/>
      <c r="P61" s="223"/>
      <c r="Q61" s="454"/>
      <c r="S61" s="274"/>
      <c r="T61" s="274"/>
      <c r="U61" s="274"/>
      <c r="AJ61" s="454"/>
      <c r="AZ61" s="275"/>
      <c r="BJ61" s="225"/>
      <c r="BK61" s="225"/>
      <c r="BL61" s="225"/>
      <c r="BO61" s="178"/>
      <c r="BP61" s="225"/>
      <c r="BQ61" s="276"/>
      <c r="BR61" s="277"/>
      <c r="BS61" s="225"/>
      <c r="BT61" s="278"/>
      <c r="BX61" s="225"/>
      <c r="BY61" s="225"/>
      <c r="BZ61" s="178"/>
      <c r="CA61" s="178"/>
      <c r="CB61" s="178"/>
      <c r="CC61" s="178"/>
    </row>
    <row r="62" spans="1:81" x14ac:dyDescent="0.2">
      <c r="H62" s="176">
        <v>56</v>
      </c>
      <c r="I62" s="468">
        <f t="shared" si="24"/>
        <v>6.1600000000000009E-2</v>
      </c>
      <c r="J62" s="223"/>
      <c r="K62" s="223"/>
      <c r="L62" s="223"/>
      <c r="M62" s="223"/>
      <c r="N62" s="273"/>
      <c r="O62" s="178"/>
      <c r="P62" s="223"/>
      <c r="Q62" s="454"/>
      <c r="S62" s="274"/>
      <c r="T62" s="274"/>
      <c r="U62" s="274"/>
      <c r="AJ62" s="454"/>
      <c r="AZ62" s="275"/>
      <c r="BJ62" s="225"/>
      <c r="BK62" s="225"/>
      <c r="BL62" s="225"/>
      <c r="BO62" s="178"/>
      <c r="BP62" s="225"/>
      <c r="BQ62" s="276"/>
      <c r="BR62" s="277"/>
      <c r="BS62" s="225"/>
      <c r="BT62" s="278"/>
      <c r="BX62" s="225"/>
      <c r="BY62" s="225"/>
      <c r="BZ62" s="178"/>
      <c r="CA62" s="178"/>
      <c r="CB62" s="178"/>
      <c r="CC62" s="178"/>
    </row>
    <row r="63" spans="1:81" x14ac:dyDescent="0.2">
      <c r="F63" s="331" t="s">
        <v>275</v>
      </c>
      <c r="G63" s="331" t="s">
        <v>276</v>
      </c>
      <c r="H63" s="176">
        <v>57</v>
      </c>
      <c r="I63" s="468">
        <f t="shared" si="24"/>
        <v>6.2699999999999992E-2</v>
      </c>
      <c r="J63" s="223"/>
      <c r="K63" s="223"/>
      <c r="L63" s="223"/>
      <c r="M63" s="223"/>
      <c r="N63" s="273"/>
      <c r="O63" s="178"/>
      <c r="P63" s="223"/>
      <c r="Q63" s="454"/>
      <c r="S63" s="274"/>
      <c r="T63" s="274"/>
      <c r="U63" s="274"/>
      <c r="AJ63" s="454"/>
      <c r="AZ63" s="275"/>
      <c r="BJ63" s="225"/>
      <c r="BK63" s="225"/>
      <c r="BL63" s="225"/>
      <c r="BO63" s="178"/>
      <c r="BP63" s="225"/>
      <c r="BQ63" s="276"/>
      <c r="BR63" s="277"/>
      <c r="BS63" s="225"/>
      <c r="BT63" s="278"/>
      <c r="BX63" s="225"/>
      <c r="BY63" s="225"/>
      <c r="BZ63" s="178"/>
      <c r="CA63" s="178"/>
      <c r="CB63" s="178"/>
      <c r="CC63" s="178"/>
    </row>
    <row r="64" spans="1:81" x14ac:dyDescent="0.2">
      <c r="F64" s="332">
        <f>BM56</f>
        <v>0</v>
      </c>
      <c r="G64" s="333">
        <f>I56*1000</f>
        <v>55</v>
      </c>
      <c r="H64" s="176">
        <v>58</v>
      </c>
      <c r="I64" s="468">
        <f t="shared" si="24"/>
        <v>6.3799999999999996E-2</v>
      </c>
      <c r="J64" s="223"/>
      <c r="K64" s="223"/>
      <c r="L64" s="223"/>
      <c r="M64" s="223"/>
      <c r="N64" s="273"/>
      <c r="O64" s="178"/>
      <c r="P64" s="223"/>
      <c r="Q64" s="454"/>
      <c r="S64" s="274"/>
      <c r="T64" s="274"/>
      <c r="U64" s="274"/>
      <c r="AJ64" s="454"/>
      <c r="AZ64" s="275"/>
      <c r="BJ64" s="225"/>
      <c r="BK64" s="225"/>
      <c r="BL64" s="225"/>
      <c r="BO64" s="178"/>
      <c r="BP64" s="225"/>
      <c r="BQ64" s="276"/>
      <c r="BR64" s="277"/>
      <c r="BS64" s="225"/>
      <c r="BT64" s="278"/>
      <c r="BX64" s="225"/>
      <c r="BY64" s="225"/>
      <c r="BZ64" s="178"/>
      <c r="CA64" s="178"/>
      <c r="CB64" s="178"/>
      <c r="CC64" s="178"/>
    </row>
    <row r="65" spans="6:81" x14ac:dyDescent="0.2">
      <c r="F65" s="332">
        <f>BM81</f>
        <v>0</v>
      </c>
      <c r="G65" s="333">
        <f>I81*1000</f>
        <v>82.5</v>
      </c>
      <c r="H65" s="176">
        <v>59</v>
      </c>
      <c r="I65" s="468">
        <f t="shared" si="24"/>
        <v>6.4899999999999999E-2</v>
      </c>
      <c r="J65" s="223"/>
      <c r="K65" s="223"/>
      <c r="L65" s="223"/>
      <c r="M65" s="223"/>
      <c r="N65" s="273"/>
      <c r="O65" s="178"/>
      <c r="P65" s="223"/>
      <c r="Q65" s="454"/>
      <c r="S65" s="274"/>
      <c r="T65" s="274"/>
      <c r="U65" s="274"/>
      <c r="AJ65" s="454"/>
      <c r="AZ65" s="275"/>
      <c r="BJ65" s="225"/>
      <c r="BK65" s="225"/>
      <c r="BL65" s="225"/>
      <c r="BO65" s="178"/>
      <c r="BP65" s="225"/>
      <c r="BQ65" s="276"/>
      <c r="BR65" s="277"/>
      <c r="BS65" s="225"/>
      <c r="BT65" s="278"/>
      <c r="BX65" s="225"/>
      <c r="BY65" s="225"/>
      <c r="BZ65" s="178"/>
      <c r="CA65" s="178"/>
      <c r="CB65" s="178"/>
      <c r="CC65" s="178"/>
    </row>
    <row r="66" spans="6:81" x14ac:dyDescent="0.2">
      <c r="F66" s="332">
        <f>BM106</f>
        <v>100</v>
      </c>
      <c r="G66" s="333">
        <f>I106*1000</f>
        <v>110</v>
      </c>
      <c r="H66" s="176">
        <v>60</v>
      </c>
      <c r="I66" s="468">
        <f t="shared" si="24"/>
        <v>6.6000000000000003E-2</v>
      </c>
      <c r="J66" s="223"/>
      <c r="K66" s="223"/>
      <c r="L66" s="223"/>
      <c r="M66" s="223"/>
      <c r="N66" s="273"/>
      <c r="O66" s="178"/>
      <c r="P66" s="223"/>
      <c r="Q66" s="454"/>
      <c r="S66" s="274"/>
      <c r="T66" s="274"/>
      <c r="U66" s="274"/>
      <c r="AJ66" s="454"/>
      <c r="AZ66" s="275"/>
      <c r="BJ66" s="225"/>
      <c r="BK66" s="225"/>
      <c r="BL66" s="225"/>
      <c r="BO66" s="178"/>
      <c r="BP66" s="225"/>
      <c r="BQ66" s="276"/>
      <c r="BR66" s="277"/>
      <c r="BS66" s="225"/>
      <c r="BT66" s="278"/>
      <c r="BX66" s="225"/>
      <c r="BY66" s="225"/>
      <c r="BZ66" s="178"/>
      <c r="CA66" s="178"/>
      <c r="CB66" s="178"/>
      <c r="CC66" s="178"/>
    </row>
    <row r="67" spans="6:81" x14ac:dyDescent="0.2">
      <c r="H67" s="176">
        <v>61</v>
      </c>
      <c r="I67" s="468">
        <f t="shared" si="24"/>
        <v>6.7099999999999993E-2</v>
      </c>
      <c r="J67" s="223"/>
      <c r="K67" s="223"/>
      <c r="L67" s="223"/>
      <c r="M67" s="223"/>
      <c r="N67" s="273"/>
      <c r="O67" s="178"/>
      <c r="P67" s="223"/>
      <c r="Q67" s="454"/>
      <c r="S67" s="274"/>
      <c r="T67" s="274"/>
      <c r="U67" s="274"/>
      <c r="AJ67" s="454"/>
      <c r="AZ67" s="275"/>
      <c r="BJ67" s="225"/>
      <c r="BK67" s="225"/>
      <c r="BL67" s="225"/>
      <c r="BO67" s="178"/>
      <c r="BP67" s="225"/>
      <c r="BQ67" s="276"/>
      <c r="BR67" s="277"/>
      <c r="BS67" s="225"/>
      <c r="BT67" s="278"/>
      <c r="BX67" s="225"/>
      <c r="BY67" s="225"/>
      <c r="BZ67" s="178"/>
      <c r="CA67" s="178"/>
      <c r="CB67" s="178"/>
      <c r="CC67" s="178"/>
    </row>
    <row r="68" spans="6:81" x14ac:dyDescent="0.2">
      <c r="H68" s="176">
        <v>62</v>
      </c>
      <c r="I68" s="468">
        <f t="shared" si="24"/>
        <v>6.8199999999999997E-2</v>
      </c>
      <c r="J68" s="223"/>
      <c r="K68" s="223"/>
      <c r="L68" s="223"/>
      <c r="M68" s="223"/>
      <c r="N68" s="273"/>
      <c r="O68" s="178"/>
      <c r="P68" s="223"/>
      <c r="Q68" s="454"/>
      <c r="S68" s="274"/>
      <c r="T68" s="274"/>
      <c r="U68" s="274"/>
      <c r="AJ68" s="454"/>
      <c r="AZ68" s="275"/>
      <c r="BJ68" s="225"/>
      <c r="BK68" s="225"/>
      <c r="BL68" s="225"/>
      <c r="BO68" s="178"/>
      <c r="BP68" s="225"/>
      <c r="BQ68" s="276"/>
      <c r="BR68" s="277"/>
      <c r="BS68" s="225"/>
      <c r="BT68" s="278"/>
      <c r="BX68" s="225"/>
      <c r="BY68" s="225"/>
      <c r="BZ68" s="178"/>
      <c r="CA68" s="178"/>
      <c r="CB68" s="178"/>
      <c r="CC68" s="178"/>
    </row>
    <row r="69" spans="6:81" x14ac:dyDescent="0.2">
      <c r="H69" s="176">
        <v>63</v>
      </c>
      <c r="I69" s="468">
        <f t="shared" si="24"/>
        <v>6.93E-2</v>
      </c>
      <c r="J69" s="223"/>
      <c r="K69" s="223"/>
      <c r="L69" s="223"/>
      <c r="M69" s="223"/>
      <c r="N69" s="273"/>
      <c r="O69" s="178"/>
      <c r="P69" s="223"/>
      <c r="Q69" s="454"/>
      <c r="S69" s="274"/>
      <c r="T69" s="274"/>
      <c r="U69" s="274"/>
      <c r="AJ69" s="454"/>
      <c r="AZ69" s="275"/>
      <c r="BJ69" s="225"/>
      <c r="BK69" s="225"/>
      <c r="BL69" s="225"/>
      <c r="BO69" s="178"/>
      <c r="BP69" s="225"/>
      <c r="BQ69" s="276"/>
      <c r="BR69" s="277"/>
      <c r="BS69" s="225"/>
      <c r="BT69" s="278"/>
      <c r="BX69" s="225"/>
      <c r="BY69" s="225"/>
      <c r="BZ69" s="178"/>
      <c r="CA69" s="178"/>
      <c r="CB69" s="178"/>
      <c r="CC69" s="178"/>
    </row>
    <row r="70" spans="6:81" x14ac:dyDescent="0.2">
      <c r="H70" s="176">
        <v>64</v>
      </c>
      <c r="I70" s="468">
        <f t="shared" ref="I70:I101" si="25">IF(PLOT_TYPE=1, H70/100*Iout_max, min_I*EXP(H70*rr/100))</f>
        <v>7.0400000000000004E-2</v>
      </c>
      <c r="J70" s="223"/>
      <c r="K70" s="223"/>
      <c r="L70" s="223"/>
      <c r="M70" s="223"/>
      <c r="N70" s="273"/>
      <c r="O70" s="178"/>
      <c r="P70" s="223"/>
      <c r="Q70" s="454"/>
      <c r="S70" s="274"/>
      <c r="T70" s="274"/>
      <c r="U70" s="274"/>
      <c r="AJ70" s="454"/>
      <c r="AZ70" s="275"/>
      <c r="BJ70" s="225"/>
      <c r="BK70" s="225"/>
      <c r="BL70" s="225"/>
      <c r="BO70" s="178"/>
      <c r="BP70" s="225"/>
      <c r="BQ70" s="276"/>
      <c r="BR70" s="277"/>
      <c r="BS70" s="225"/>
      <c r="BT70" s="278"/>
      <c r="BX70" s="225"/>
      <c r="BY70" s="225"/>
      <c r="BZ70" s="178"/>
      <c r="CA70" s="178"/>
      <c r="CB70" s="178"/>
      <c r="CC70" s="178"/>
    </row>
    <row r="71" spans="6:81" x14ac:dyDescent="0.2">
      <c r="H71" s="176">
        <v>65</v>
      </c>
      <c r="I71" s="468">
        <f t="shared" si="25"/>
        <v>7.1500000000000008E-2</v>
      </c>
      <c r="J71" s="223"/>
      <c r="K71" s="223"/>
      <c r="L71" s="223"/>
      <c r="M71" s="223"/>
      <c r="N71" s="273"/>
      <c r="O71" s="178"/>
      <c r="P71" s="223"/>
      <c r="Q71" s="454"/>
      <c r="S71" s="274"/>
      <c r="T71" s="274"/>
      <c r="U71" s="274"/>
      <c r="AJ71" s="454"/>
      <c r="AZ71" s="275"/>
      <c r="BJ71" s="225"/>
      <c r="BK71" s="225"/>
      <c r="BL71" s="225"/>
      <c r="BO71" s="178"/>
      <c r="BP71" s="225"/>
      <c r="BQ71" s="276"/>
      <c r="BR71" s="277"/>
      <c r="BS71" s="225"/>
      <c r="BT71" s="278"/>
      <c r="BX71" s="225"/>
      <c r="BY71" s="225"/>
      <c r="BZ71" s="178"/>
      <c r="CA71" s="178"/>
      <c r="CB71" s="178"/>
      <c r="CC71" s="178"/>
    </row>
    <row r="72" spans="6:81" x14ac:dyDescent="0.2">
      <c r="H72" s="176">
        <v>66</v>
      </c>
      <c r="I72" s="468">
        <f t="shared" si="25"/>
        <v>7.2599999999999998E-2</v>
      </c>
      <c r="J72" s="223"/>
      <c r="K72" s="223"/>
      <c r="L72" s="223"/>
      <c r="M72" s="223"/>
      <c r="N72" s="273"/>
      <c r="O72" s="178"/>
      <c r="P72" s="223"/>
      <c r="Q72" s="454"/>
      <c r="S72" s="274"/>
      <c r="T72" s="274"/>
      <c r="U72" s="274"/>
      <c r="AJ72" s="454"/>
      <c r="AZ72" s="275"/>
      <c r="BJ72" s="225"/>
      <c r="BK72" s="225"/>
      <c r="BL72" s="225"/>
      <c r="BO72" s="178"/>
      <c r="BP72" s="225"/>
      <c r="BQ72" s="276"/>
      <c r="BR72" s="277"/>
      <c r="BS72" s="225"/>
      <c r="BT72" s="278"/>
      <c r="BX72" s="225"/>
      <c r="BY72" s="225"/>
      <c r="BZ72" s="178"/>
      <c r="CA72" s="178"/>
      <c r="CB72" s="178"/>
      <c r="CC72" s="178"/>
    </row>
    <row r="73" spans="6:81" x14ac:dyDescent="0.2">
      <c r="H73" s="176">
        <v>67</v>
      </c>
      <c r="I73" s="468">
        <f t="shared" si="25"/>
        <v>7.3700000000000002E-2</v>
      </c>
      <c r="J73" s="223"/>
      <c r="K73" s="223"/>
      <c r="L73" s="223"/>
      <c r="M73" s="223"/>
      <c r="N73" s="273"/>
      <c r="O73" s="178"/>
      <c r="P73" s="223"/>
      <c r="Q73" s="454"/>
      <c r="S73" s="274"/>
      <c r="T73" s="274"/>
      <c r="U73" s="274"/>
      <c r="AJ73" s="454"/>
      <c r="AZ73" s="275"/>
      <c r="BJ73" s="225"/>
      <c r="BK73" s="225"/>
      <c r="BL73" s="225"/>
      <c r="BO73" s="178"/>
      <c r="BP73" s="225"/>
      <c r="BQ73" s="276"/>
      <c r="BR73" s="277"/>
      <c r="BS73" s="225"/>
      <c r="BT73" s="278"/>
      <c r="BX73" s="225"/>
      <c r="BY73" s="225"/>
      <c r="BZ73" s="178"/>
      <c r="CA73" s="178"/>
      <c r="CB73" s="178"/>
      <c r="CC73" s="178"/>
    </row>
    <row r="74" spans="6:81" x14ac:dyDescent="0.2">
      <c r="H74" s="176">
        <v>68</v>
      </c>
      <c r="I74" s="468">
        <f t="shared" si="25"/>
        <v>7.4800000000000005E-2</v>
      </c>
      <c r="J74" s="223"/>
      <c r="K74" s="223"/>
      <c r="L74" s="223"/>
      <c r="M74" s="223"/>
      <c r="N74" s="273"/>
      <c r="O74" s="178"/>
      <c r="P74" s="223"/>
      <c r="Q74" s="454"/>
      <c r="S74" s="274"/>
      <c r="T74" s="274"/>
      <c r="U74" s="274"/>
      <c r="AJ74" s="454"/>
      <c r="AZ74" s="275"/>
      <c r="BJ74" s="225"/>
      <c r="BK74" s="225"/>
      <c r="BL74" s="225"/>
      <c r="BO74" s="178"/>
      <c r="BP74" s="225"/>
      <c r="BQ74" s="276"/>
      <c r="BR74" s="277"/>
      <c r="BS74" s="225"/>
      <c r="BT74" s="278"/>
      <c r="BX74" s="225"/>
      <c r="BY74" s="225"/>
      <c r="BZ74" s="178"/>
      <c r="CA74" s="178"/>
      <c r="CB74" s="178"/>
      <c r="CC74" s="178"/>
    </row>
    <row r="75" spans="6:81" x14ac:dyDescent="0.2">
      <c r="H75" s="176">
        <v>69</v>
      </c>
      <c r="I75" s="468">
        <f t="shared" si="25"/>
        <v>7.5899999999999995E-2</v>
      </c>
      <c r="J75" s="223"/>
      <c r="K75" s="223"/>
      <c r="L75" s="223"/>
      <c r="M75" s="223"/>
      <c r="N75" s="273"/>
      <c r="O75" s="178"/>
      <c r="P75" s="223"/>
      <c r="Q75" s="454"/>
      <c r="S75" s="274"/>
      <c r="T75" s="274"/>
      <c r="U75" s="274"/>
      <c r="AJ75" s="454"/>
      <c r="AZ75" s="275"/>
      <c r="BJ75" s="225"/>
      <c r="BK75" s="225"/>
      <c r="BL75" s="225"/>
      <c r="BO75" s="178"/>
      <c r="BP75" s="225"/>
      <c r="BQ75" s="276"/>
      <c r="BR75" s="277"/>
      <c r="BS75" s="225"/>
      <c r="BT75" s="278"/>
      <c r="BX75" s="225"/>
      <c r="BY75" s="225"/>
      <c r="BZ75" s="178"/>
      <c r="CA75" s="178"/>
      <c r="CB75" s="178"/>
      <c r="CC75" s="178"/>
    </row>
    <row r="76" spans="6:81" x14ac:dyDescent="0.2">
      <c r="H76" s="176">
        <v>70</v>
      </c>
      <c r="I76" s="468">
        <f t="shared" si="25"/>
        <v>7.6999999999999999E-2</v>
      </c>
      <c r="J76" s="223"/>
      <c r="K76" s="223"/>
      <c r="L76" s="223"/>
      <c r="M76" s="223"/>
      <c r="N76" s="273"/>
      <c r="O76" s="178"/>
      <c r="P76" s="223"/>
      <c r="Q76" s="454"/>
      <c r="S76" s="274"/>
      <c r="T76" s="274"/>
      <c r="U76" s="274"/>
      <c r="AJ76" s="454"/>
      <c r="AZ76" s="275"/>
      <c r="BJ76" s="225"/>
      <c r="BK76" s="225"/>
      <c r="BL76" s="225"/>
      <c r="BO76" s="178"/>
      <c r="BP76" s="225"/>
      <c r="BQ76" s="276"/>
      <c r="BR76" s="277"/>
      <c r="BS76" s="225"/>
      <c r="BT76" s="278"/>
      <c r="BX76" s="225"/>
      <c r="BY76" s="225"/>
      <c r="BZ76" s="178"/>
      <c r="CA76" s="178"/>
      <c r="CB76" s="178"/>
      <c r="CC76" s="178"/>
    </row>
    <row r="77" spans="6:81" x14ac:dyDescent="0.2">
      <c r="H77" s="176">
        <v>71</v>
      </c>
      <c r="I77" s="468">
        <f t="shared" si="25"/>
        <v>7.8100000000000003E-2</v>
      </c>
      <c r="J77" s="223"/>
      <c r="K77" s="223"/>
      <c r="L77" s="223"/>
      <c r="M77" s="223"/>
      <c r="N77" s="273"/>
      <c r="O77" s="178"/>
      <c r="P77" s="223"/>
      <c r="Q77" s="454"/>
      <c r="S77" s="274"/>
      <c r="T77" s="274"/>
      <c r="U77" s="274"/>
      <c r="AJ77" s="454"/>
      <c r="AZ77" s="275"/>
      <c r="BJ77" s="225"/>
      <c r="BK77" s="225"/>
      <c r="BL77" s="225"/>
      <c r="BO77" s="178"/>
      <c r="BP77" s="225"/>
      <c r="BQ77" s="276"/>
      <c r="BR77" s="277"/>
      <c r="BS77" s="225"/>
      <c r="BT77" s="278"/>
      <c r="BX77" s="225"/>
      <c r="BY77" s="225"/>
      <c r="BZ77" s="178"/>
      <c r="CA77" s="178"/>
      <c r="CB77" s="178"/>
      <c r="CC77" s="178"/>
    </row>
    <row r="78" spans="6:81" x14ac:dyDescent="0.2">
      <c r="H78" s="176">
        <v>72</v>
      </c>
      <c r="I78" s="468">
        <f t="shared" si="25"/>
        <v>7.9199999999999993E-2</v>
      </c>
      <c r="J78" s="223"/>
      <c r="K78" s="223"/>
      <c r="L78" s="223"/>
      <c r="M78" s="223"/>
      <c r="N78" s="273"/>
      <c r="O78" s="178"/>
      <c r="P78" s="223"/>
      <c r="Q78" s="454"/>
      <c r="S78" s="274"/>
      <c r="T78" s="274"/>
      <c r="U78" s="274"/>
      <c r="AJ78" s="454"/>
      <c r="AZ78" s="275"/>
      <c r="BJ78" s="225"/>
      <c r="BK78" s="225"/>
      <c r="BL78" s="225"/>
      <c r="BO78" s="178"/>
      <c r="BP78" s="225"/>
      <c r="BQ78" s="276"/>
      <c r="BR78" s="277"/>
      <c r="BS78" s="225"/>
      <c r="BT78" s="278"/>
      <c r="BX78" s="225"/>
      <c r="BY78" s="225"/>
      <c r="BZ78" s="178"/>
      <c r="CA78" s="178"/>
      <c r="CB78" s="178"/>
      <c r="CC78" s="178"/>
    </row>
    <row r="79" spans="6:81" x14ac:dyDescent="0.2">
      <c r="H79" s="176">
        <v>73</v>
      </c>
      <c r="I79" s="468">
        <f t="shared" si="25"/>
        <v>8.0299999999999996E-2</v>
      </c>
      <c r="J79" s="223"/>
      <c r="K79" s="223"/>
      <c r="L79" s="223"/>
      <c r="M79" s="223"/>
      <c r="N79" s="273"/>
      <c r="O79" s="178"/>
      <c r="P79" s="223"/>
      <c r="Q79" s="454"/>
      <c r="S79" s="274"/>
      <c r="T79" s="274"/>
      <c r="U79" s="274"/>
      <c r="AJ79" s="454"/>
      <c r="AZ79" s="275"/>
      <c r="BJ79" s="225"/>
      <c r="BK79" s="225"/>
      <c r="BL79" s="225"/>
      <c r="BO79" s="178"/>
      <c r="BP79" s="225"/>
      <c r="BQ79" s="276"/>
      <c r="BR79" s="277"/>
      <c r="BS79" s="225"/>
      <c r="BT79" s="278"/>
      <c r="BX79" s="225"/>
      <c r="BY79" s="225"/>
      <c r="BZ79" s="178"/>
      <c r="CA79" s="178"/>
      <c r="CB79" s="178"/>
      <c r="CC79" s="178"/>
    </row>
    <row r="80" spans="6:81" x14ac:dyDescent="0.2">
      <c r="H80" s="176">
        <v>74</v>
      </c>
      <c r="I80" s="468">
        <f t="shared" si="25"/>
        <v>8.14E-2</v>
      </c>
      <c r="J80" s="223"/>
      <c r="K80" s="223"/>
      <c r="L80" s="223"/>
      <c r="M80" s="223"/>
      <c r="N80" s="273"/>
      <c r="O80" s="178"/>
      <c r="P80" s="223"/>
      <c r="Q80" s="454"/>
      <c r="S80" s="274"/>
      <c r="T80" s="274"/>
      <c r="U80" s="274"/>
      <c r="AJ80" s="454"/>
      <c r="AZ80" s="275"/>
      <c r="BJ80" s="225"/>
      <c r="BK80" s="225"/>
      <c r="BL80" s="225"/>
      <c r="BO80" s="178"/>
      <c r="BP80" s="225"/>
      <c r="BQ80" s="276"/>
      <c r="BR80" s="277"/>
      <c r="BS80" s="225"/>
      <c r="BT80" s="278"/>
      <c r="BX80" s="225"/>
      <c r="BY80" s="225"/>
      <c r="BZ80" s="178"/>
      <c r="CA80" s="178"/>
      <c r="CB80" s="178"/>
      <c r="CC80" s="178"/>
    </row>
    <row r="81" spans="6:81" x14ac:dyDescent="0.2">
      <c r="H81" s="176">
        <v>75</v>
      </c>
      <c r="I81" s="468">
        <f t="shared" si="25"/>
        <v>8.2500000000000004E-2</v>
      </c>
      <c r="J81" s="223"/>
      <c r="K81" s="223"/>
      <c r="L81" s="223"/>
      <c r="M81" s="223"/>
      <c r="N81" s="273"/>
      <c r="O81" s="178"/>
      <c r="P81" s="223"/>
      <c r="Q81" s="454"/>
      <c r="S81" s="274"/>
      <c r="T81" s="274"/>
      <c r="U81" s="274"/>
      <c r="AJ81" s="454"/>
      <c r="AZ81" s="275"/>
      <c r="BJ81" s="225"/>
      <c r="BK81" s="225"/>
      <c r="BL81" s="225"/>
      <c r="BO81" s="178"/>
      <c r="BP81" s="225"/>
      <c r="BQ81" s="276"/>
      <c r="BR81" s="277"/>
      <c r="BS81" s="225"/>
      <c r="BT81" s="278"/>
      <c r="BX81" s="225"/>
      <c r="BY81" s="225"/>
      <c r="BZ81" s="178"/>
      <c r="CA81" s="178"/>
      <c r="CB81" s="178"/>
      <c r="CC81" s="178"/>
    </row>
    <row r="82" spans="6:81" x14ac:dyDescent="0.2">
      <c r="H82" s="176">
        <v>76</v>
      </c>
      <c r="I82" s="468">
        <f t="shared" si="25"/>
        <v>8.3600000000000008E-2</v>
      </c>
      <c r="J82" s="223"/>
      <c r="K82" s="223"/>
      <c r="L82" s="223"/>
      <c r="M82" s="223"/>
      <c r="N82" s="273"/>
      <c r="O82" s="178"/>
      <c r="P82" s="223"/>
      <c r="Q82" s="454"/>
      <c r="S82" s="274"/>
      <c r="T82" s="274"/>
      <c r="U82" s="274"/>
      <c r="AJ82" s="454"/>
      <c r="AZ82" s="275"/>
      <c r="BJ82" s="225"/>
      <c r="BK82" s="225"/>
      <c r="BL82" s="225"/>
      <c r="BO82" s="178"/>
      <c r="BP82" s="225"/>
      <c r="BQ82" s="276"/>
      <c r="BR82" s="277"/>
      <c r="BS82" s="225"/>
      <c r="BT82" s="278"/>
      <c r="BX82" s="225"/>
      <c r="BY82" s="225"/>
      <c r="BZ82" s="178"/>
      <c r="CA82" s="178"/>
      <c r="CB82" s="178"/>
      <c r="CC82" s="178"/>
    </row>
    <row r="83" spans="6:81" x14ac:dyDescent="0.2">
      <c r="H83" s="176">
        <v>77</v>
      </c>
      <c r="I83" s="468">
        <f t="shared" si="25"/>
        <v>8.4699999999999998E-2</v>
      </c>
      <c r="J83" s="223"/>
      <c r="K83" s="223"/>
      <c r="L83" s="223"/>
      <c r="M83" s="223"/>
      <c r="N83" s="273"/>
      <c r="O83" s="178"/>
      <c r="P83" s="223"/>
      <c r="Q83" s="454"/>
      <c r="S83" s="274"/>
      <c r="T83" s="274"/>
      <c r="U83" s="274"/>
      <c r="AJ83" s="454"/>
      <c r="AZ83" s="275"/>
      <c r="BJ83" s="225"/>
      <c r="BK83" s="225"/>
      <c r="BL83" s="225"/>
      <c r="BO83" s="178"/>
      <c r="BP83" s="225"/>
      <c r="BQ83" s="276"/>
      <c r="BR83" s="277"/>
      <c r="BS83" s="225"/>
      <c r="BT83" s="278"/>
      <c r="BX83" s="225"/>
      <c r="BY83" s="225"/>
      <c r="BZ83" s="178"/>
      <c r="CA83" s="178"/>
      <c r="CB83" s="178"/>
      <c r="CC83" s="178"/>
    </row>
    <row r="84" spans="6:81" x14ac:dyDescent="0.2">
      <c r="H84" s="176">
        <v>78</v>
      </c>
      <c r="I84" s="468">
        <f t="shared" si="25"/>
        <v>8.5800000000000001E-2</v>
      </c>
      <c r="J84" s="223"/>
      <c r="K84" s="223"/>
      <c r="L84" s="223"/>
      <c r="M84" s="223"/>
      <c r="N84" s="273"/>
      <c r="O84" s="178"/>
      <c r="P84" s="223"/>
      <c r="Q84" s="454"/>
      <c r="S84" s="274"/>
      <c r="T84" s="274"/>
      <c r="U84" s="274"/>
      <c r="AJ84" s="454"/>
      <c r="AZ84" s="275"/>
      <c r="BJ84" s="225"/>
      <c r="BK84" s="225"/>
      <c r="BL84" s="225"/>
      <c r="BO84" s="178"/>
      <c r="BP84" s="225"/>
      <c r="BQ84" s="276"/>
      <c r="BR84" s="277"/>
      <c r="BS84" s="225"/>
      <c r="BT84" s="278"/>
      <c r="BX84" s="225"/>
      <c r="BY84" s="225"/>
      <c r="BZ84" s="178"/>
      <c r="CA84" s="178"/>
      <c r="CB84" s="178"/>
      <c r="CC84" s="178"/>
    </row>
    <row r="85" spans="6:81" x14ac:dyDescent="0.2">
      <c r="H85" s="176">
        <v>79</v>
      </c>
      <c r="I85" s="468">
        <f t="shared" si="25"/>
        <v>8.6900000000000005E-2</v>
      </c>
      <c r="J85" s="223"/>
      <c r="K85" s="223"/>
      <c r="L85" s="223"/>
      <c r="M85" s="223"/>
      <c r="N85" s="273"/>
      <c r="O85" s="178"/>
      <c r="P85" s="223"/>
      <c r="Q85" s="454"/>
      <c r="S85" s="274"/>
      <c r="T85" s="274"/>
      <c r="U85" s="274"/>
      <c r="AJ85" s="454"/>
      <c r="AZ85" s="275"/>
      <c r="BJ85" s="225"/>
      <c r="BK85" s="225"/>
      <c r="BL85" s="225"/>
      <c r="BO85" s="178"/>
      <c r="BP85" s="225"/>
      <c r="BQ85" s="276"/>
      <c r="BR85" s="277"/>
      <c r="BS85" s="225"/>
      <c r="BT85" s="278"/>
      <c r="BX85" s="225"/>
      <c r="BY85" s="225"/>
      <c r="BZ85" s="178"/>
      <c r="CA85" s="178"/>
      <c r="CB85" s="178"/>
      <c r="CC85" s="178"/>
    </row>
    <row r="86" spans="6:81" x14ac:dyDescent="0.2">
      <c r="H86" s="176">
        <v>80</v>
      </c>
      <c r="I86" s="468">
        <f t="shared" si="25"/>
        <v>8.8000000000000009E-2</v>
      </c>
      <c r="J86" s="223"/>
      <c r="K86" s="223"/>
      <c r="L86" s="223"/>
      <c r="M86" s="223"/>
      <c r="N86" s="273"/>
      <c r="O86" s="178"/>
      <c r="P86" s="223"/>
      <c r="Q86" s="454"/>
      <c r="S86" s="274"/>
      <c r="T86" s="274"/>
      <c r="U86" s="274"/>
      <c r="AJ86" s="454"/>
      <c r="AZ86" s="275"/>
      <c r="BJ86" s="225"/>
      <c r="BK86" s="225"/>
      <c r="BL86" s="225"/>
      <c r="BO86" s="178"/>
      <c r="BP86" s="225"/>
      <c r="BQ86" s="276"/>
      <c r="BR86" s="277"/>
      <c r="BS86" s="225"/>
      <c r="BT86" s="278"/>
      <c r="BX86" s="225"/>
      <c r="BY86" s="225"/>
      <c r="BZ86" s="178"/>
      <c r="CA86" s="178"/>
      <c r="CB86" s="178"/>
      <c r="CC86" s="178"/>
    </row>
    <row r="87" spans="6:81" x14ac:dyDescent="0.2">
      <c r="H87" s="176">
        <v>81</v>
      </c>
      <c r="I87" s="468">
        <f t="shared" si="25"/>
        <v>8.9100000000000013E-2</v>
      </c>
      <c r="J87" s="223"/>
      <c r="K87" s="223"/>
      <c r="L87" s="223"/>
      <c r="M87" s="223"/>
      <c r="N87" s="273"/>
      <c r="O87" s="178"/>
      <c r="P87" s="223"/>
      <c r="Q87" s="454"/>
      <c r="S87" s="274"/>
      <c r="T87" s="274"/>
      <c r="U87" s="274"/>
      <c r="AJ87" s="454"/>
      <c r="AZ87" s="275"/>
      <c r="BJ87" s="225"/>
      <c r="BK87" s="225"/>
      <c r="BL87" s="225"/>
      <c r="BO87" s="178"/>
      <c r="BP87" s="225"/>
      <c r="BQ87" s="276"/>
      <c r="BR87" s="277"/>
      <c r="BS87" s="225"/>
      <c r="BT87" s="278"/>
      <c r="BX87" s="225"/>
      <c r="BY87" s="225"/>
      <c r="BZ87" s="178"/>
      <c r="CA87" s="178"/>
      <c r="CB87" s="178"/>
      <c r="CC87" s="178"/>
    </row>
    <row r="88" spans="6:81" x14ac:dyDescent="0.2">
      <c r="F88" s="331" t="s">
        <v>275</v>
      </c>
      <c r="G88" s="331" t="s">
        <v>276</v>
      </c>
      <c r="H88" s="176">
        <v>82</v>
      </c>
      <c r="I88" s="468">
        <f t="shared" si="25"/>
        <v>9.0199999999999989E-2</v>
      </c>
      <c r="J88" s="223"/>
      <c r="K88" s="223"/>
      <c r="L88" s="223"/>
      <c r="M88" s="223"/>
      <c r="N88" s="273"/>
      <c r="O88" s="178"/>
      <c r="P88" s="223"/>
      <c r="Q88" s="454"/>
      <c r="S88" s="274"/>
      <c r="T88" s="274"/>
      <c r="U88" s="274"/>
      <c r="AJ88" s="454"/>
      <c r="AZ88" s="275"/>
      <c r="BJ88" s="225"/>
      <c r="BK88" s="225"/>
      <c r="BL88" s="225"/>
      <c r="BO88" s="178"/>
      <c r="BP88" s="225"/>
      <c r="BQ88" s="276"/>
      <c r="BR88" s="277"/>
      <c r="BS88" s="225"/>
      <c r="BT88" s="278"/>
      <c r="BX88" s="225"/>
      <c r="BY88" s="225"/>
      <c r="BZ88" s="178"/>
      <c r="CA88" s="178"/>
      <c r="CB88" s="178"/>
      <c r="CC88" s="178"/>
    </row>
    <row r="89" spans="6:81" x14ac:dyDescent="0.2">
      <c r="F89" s="332">
        <f>BO51</f>
        <v>0</v>
      </c>
      <c r="G89" s="333">
        <f>I56*1000</f>
        <v>55</v>
      </c>
      <c r="H89" s="176">
        <v>83</v>
      </c>
      <c r="I89" s="468">
        <f t="shared" si="25"/>
        <v>9.1299999999999992E-2</v>
      </c>
      <c r="J89" s="223"/>
      <c r="K89" s="223"/>
      <c r="L89" s="223"/>
      <c r="M89" s="223"/>
      <c r="N89" s="273"/>
      <c r="O89" s="178"/>
      <c r="P89" s="223"/>
      <c r="Q89" s="454"/>
      <c r="S89" s="274"/>
      <c r="T89" s="274"/>
      <c r="U89" s="274"/>
      <c r="AJ89" s="454"/>
      <c r="AZ89" s="275"/>
      <c r="BJ89" s="225"/>
      <c r="BK89" s="225"/>
      <c r="BL89" s="225"/>
      <c r="BO89" s="178"/>
      <c r="BP89" s="225"/>
      <c r="BQ89" s="276"/>
      <c r="BR89" s="277"/>
      <c r="BS89" s="225"/>
      <c r="BT89" s="278"/>
      <c r="BX89" s="225"/>
      <c r="BY89" s="225"/>
      <c r="BZ89" s="178"/>
      <c r="CA89" s="178"/>
      <c r="CB89" s="178"/>
      <c r="CC89" s="178"/>
    </row>
    <row r="90" spans="6:81" x14ac:dyDescent="0.2">
      <c r="F90" s="332">
        <f>BO81</f>
        <v>0</v>
      </c>
      <c r="G90" s="333">
        <f>I81*1000</f>
        <v>82.5</v>
      </c>
      <c r="H90" s="176">
        <v>84</v>
      </c>
      <c r="I90" s="468">
        <f t="shared" si="25"/>
        <v>9.2399999999999996E-2</v>
      </c>
      <c r="J90" s="223"/>
      <c r="K90" s="223"/>
      <c r="L90" s="223"/>
      <c r="M90" s="223"/>
      <c r="N90" s="273"/>
      <c r="O90" s="178"/>
      <c r="P90" s="223"/>
      <c r="Q90" s="454"/>
      <c r="S90" s="274"/>
      <c r="T90" s="274"/>
      <c r="U90" s="274"/>
      <c r="AJ90" s="454"/>
      <c r="AZ90" s="275"/>
      <c r="BJ90" s="225"/>
      <c r="BK90" s="225"/>
      <c r="BL90" s="225"/>
      <c r="BO90" s="178"/>
      <c r="BP90" s="225"/>
      <c r="BQ90" s="276"/>
      <c r="BR90" s="277"/>
      <c r="BS90" s="225"/>
      <c r="BT90" s="278"/>
      <c r="BX90" s="225"/>
      <c r="BY90" s="225"/>
      <c r="BZ90" s="178"/>
      <c r="CA90" s="178"/>
      <c r="CB90" s="178"/>
      <c r="CC90" s="178"/>
    </row>
    <row r="91" spans="6:81" x14ac:dyDescent="0.2">
      <c r="F91" s="332">
        <f>BO106</f>
        <v>88.698181382326453</v>
      </c>
      <c r="G91" s="333">
        <f>I106*1000</f>
        <v>110</v>
      </c>
      <c r="H91" s="176">
        <v>85</v>
      </c>
      <c r="I91" s="468">
        <f t="shared" si="25"/>
        <v>9.35E-2</v>
      </c>
      <c r="J91" s="223"/>
      <c r="K91" s="223"/>
      <c r="L91" s="223"/>
      <c r="M91" s="223"/>
      <c r="N91" s="273"/>
      <c r="O91" s="178"/>
      <c r="P91" s="223"/>
      <c r="Q91" s="454"/>
      <c r="S91" s="274"/>
      <c r="T91" s="274"/>
      <c r="U91" s="274"/>
      <c r="AJ91" s="454"/>
      <c r="AZ91" s="275"/>
      <c r="BJ91" s="225"/>
      <c r="BK91" s="225"/>
      <c r="BL91" s="225"/>
      <c r="BO91" s="178"/>
      <c r="BP91" s="225"/>
      <c r="BQ91" s="276"/>
      <c r="BR91" s="277"/>
      <c r="BS91" s="225"/>
      <c r="BT91" s="278"/>
      <c r="BX91" s="225"/>
      <c r="BY91" s="225"/>
      <c r="BZ91" s="178"/>
      <c r="CA91" s="178"/>
      <c r="CB91" s="178"/>
      <c r="CC91" s="178"/>
    </row>
    <row r="92" spans="6:81" x14ac:dyDescent="0.2">
      <c r="H92" s="176">
        <v>86</v>
      </c>
      <c r="I92" s="468">
        <f t="shared" si="25"/>
        <v>9.4600000000000004E-2</v>
      </c>
      <c r="J92" s="223"/>
      <c r="K92" s="223"/>
      <c r="L92" s="223"/>
      <c r="M92" s="223"/>
      <c r="N92" s="273"/>
      <c r="O92" s="178"/>
      <c r="P92" s="223"/>
      <c r="Q92" s="454"/>
      <c r="S92" s="274"/>
      <c r="T92" s="274"/>
      <c r="U92" s="274"/>
      <c r="AJ92" s="454"/>
      <c r="AZ92" s="275"/>
      <c r="BJ92" s="225"/>
      <c r="BK92" s="225"/>
      <c r="BL92" s="225"/>
      <c r="BO92" s="178"/>
      <c r="BP92" s="225"/>
      <c r="BQ92" s="276"/>
      <c r="BR92" s="277"/>
      <c r="BS92" s="225"/>
      <c r="BT92" s="278"/>
      <c r="BX92" s="225"/>
      <c r="BY92" s="225"/>
      <c r="BZ92" s="178"/>
      <c r="CA92" s="178"/>
      <c r="CB92" s="178"/>
      <c r="CC92" s="178"/>
    </row>
    <row r="93" spans="6:81" x14ac:dyDescent="0.2">
      <c r="H93" s="176">
        <v>87</v>
      </c>
      <c r="I93" s="468">
        <f t="shared" si="25"/>
        <v>9.5699999999999993E-2</v>
      </c>
      <c r="J93" s="223"/>
      <c r="K93" s="223"/>
      <c r="L93" s="223"/>
      <c r="M93" s="223"/>
      <c r="N93" s="273"/>
      <c r="O93" s="178"/>
      <c r="P93" s="223"/>
      <c r="Q93" s="454"/>
      <c r="S93" s="274"/>
      <c r="T93" s="274"/>
      <c r="U93" s="274"/>
      <c r="AJ93" s="454"/>
      <c r="AZ93" s="275"/>
      <c r="BJ93" s="225"/>
      <c r="BK93" s="225"/>
      <c r="BL93" s="225"/>
      <c r="BO93" s="178"/>
      <c r="BP93" s="225"/>
      <c r="BQ93" s="276"/>
      <c r="BR93" s="277"/>
      <c r="BS93" s="225"/>
      <c r="BT93" s="278"/>
      <c r="BX93" s="225"/>
      <c r="BY93" s="225"/>
      <c r="BZ93" s="178"/>
      <c r="CA93" s="178"/>
      <c r="CB93" s="178"/>
      <c r="CC93" s="178"/>
    </row>
    <row r="94" spans="6:81" x14ac:dyDescent="0.2">
      <c r="H94" s="176">
        <v>88</v>
      </c>
      <c r="I94" s="468">
        <f t="shared" si="25"/>
        <v>9.6799999999999997E-2</v>
      </c>
      <c r="J94" s="223"/>
      <c r="K94" s="223"/>
      <c r="L94" s="223"/>
      <c r="M94" s="223"/>
      <c r="N94" s="273"/>
      <c r="O94" s="178"/>
      <c r="P94" s="223"/>
      <c r="Q94" s="454"/>
      <c r="S94" s="274"/>
      <c r="T94" s="274"/>
      <c r="U94" s="274"/>
      <c r="AJ94" s="454"/>
      <c r="AZ94" s="275"/>
      <c r="BJ94" s="225"/>
      <c r="BK94" s="225"/>
      <c r="BL94" s="225"/>
      <c r="BO94" s="178"/>
      <c r="BP94" s="225"/>
      <c r="BQ94" s="276"/>
      <c r="BR94" s="277"/>
      <c r="BS94" s="225"/>
      <c r="BT94" s="278"/>
      <c r="BX94" s="225"/>
      <c r="BY94" s="225"/>
      <c r="BZ94" s="178"/>
      <c r="CA94" s="178"/>
      <c r="CB94" s="178"/>
      <c r="CC94" s="178"/>
    </row>
    <row r="95" spans="6:81" x14ac:dyDescent="0.2">
      <c r="H95" s="176">
        <v>89</v>
      </c>
      <c r="I95" s="468">
        <f t="shared" si="25"/>
        <v>9.7900000000000001E-2</v>
      </c>
      <c r="J95" s="223"/>
      <c r="K95" s="223"/>
      <c r="L95" s="223"/>
      <c r="M95" s="223"/>
      <c r="N95" s="273"/>
      <c r="O95" s="178"/>
      <c r="P95" s="223"/>
      <c r="Q95" s="454"/>
      <c r="S95" s="274"/>
      <c r="T95" s="274"/>
      <c r="U95" s="274"/>
      <c r="AJ95" s="454"/>
      <c r="AZ95" s="275"/>
      <c r="BJ95" s="225"/>
      <c r="BK95" s="225"/>
      <c r="BL95" s="225"/>
      <c r="BO95" s="178"/>
      <c r="BP95" s="225"/>
      <c r="BQ95" s="276"/>
      <c r="BR95" s="277"/>
      <c r="BS95" s="225"/>
      <c r="BT95" s="278"/>
      <c r="BX95" s="225"/>
      <c r="BY95" s="225"/>
      <c r="BZ95" s="178"/>
      <c r="CA95" s="178"/>
      <c r="CB95" s="178"/>
      <c r="CC95" s="178"/>
    </row>
    <row r="96" spans="6:81" x14ac:dyDescent="0.2">
      <c r="H96" s="176">
        <v>90</v>
      </c>
      <c r="I96" s="468">
        <f t="shared" si="25"/>
        <v>9.9000000000000005E-2</v>
      </c>
      <c r="J96" s="223"/>
      <c r="K96" s="223"/>
      <c r="L96" s="223"/>
      <c r="M96" s="223"/>
      <c r="N96" s="273"/>
      <c r="O96" s="178"/>
      <c r="P96" s="223"/>
      <c r="Q96" s="454"/>
      <c r="S96" s="274"/>
      <c r="T96" s="274"/>
      <c r="U96" s="274"/>
      <c r="AJ96" s="454"/>
      <c r="AZ96" s="275"/>
      <c r="BJ96" s="225"/>
      <c r="BK96" s="225"/>
      <c r="BL96" s="225"/>
      <c r="BO96" s="178"/>
      <c r="BP96" s="225"/>
      <c r="BQ96" s="276"/>
      <c r="BR96" s="277"/>
      <c r="BS96" s="225"/>
      <c r="BT96" s="278"/>
      <c r="BX96" s="225"/>
      <c r="BY96" s="225"/>
      <c r="BZ96" s="178"/>
      <c r="CA96" s="178"/>
      <c r="CB96" s="178"/>
      <c r="CC96" s="178"/>
    </row>
    <row r="97" spans="8:81" x14ac:dyDescent="0.2">
      <c r="H97" s="176">
        <v>91</v>
      </c>
      <c r="I97" s="468">
        <f t="shared" si="25"/>
        <v>0.10010000000000001</v>
      </c>
      <c r="J97" s="223"/>
      <c r="K97" s="223"/>
      <c r="L97" s="223"/>
      <c r="M97" s="223"/>
      <c r="N97" s="273"/>
      <c r="O97" s="178"/>
      <c r="P97" s="223"/>
      <c r="Q97" s="454"/>
      <c r="S97" s="274"/>
      <c r="T97" s="274"/>
      <c r="U97" s="274"/>
      <c r="AJ97" s="454"/>
      <c r="AZ97" s="275"/>
      <c r="BJ97" s="225"/>
      <c r="BK97" s="225"/>
      <c r="BL97" s="225"/>
      <c r="BO97" s="178"/>
      <c r="BP97" s="225"/>
      <c r="BQ97" s="276"/>
      <c r="BR97" s="277"/>
      <c r="BS97" s="225"/>
      <c r="BT97" s="278"/>
      <c r="BX97" s="225"/>
      <c r="BY97" s="225"/>
      <c r="BZ97" s="178"/>
      <c r="CA97" s="178"/>
      <c r="CB97" s="178"/>
      <c r="CC97" s="178"/>
    </row>
    <row r="98" spans="8:81" x14ac:dyDescent="0.2">
      <c r="H98" s="176">
        <v>92</v>
      </c>
      <c r="I98" s="468">
        <f t="shared" si="25"/>
        <v>0.1012</v>
      </c>
      <c r="J98" s="223"/>
      <c r="K98" s="223"/>
      <c r="L98" s="223"/>
      <c r="M98" s="223"/>
      <c r="N98" s="273"/>
      <c r="O98" s="178"/>
      <c r="P98" s="223"/>
      <c r="Q98" s="454"/>
      <c r="S98" s="274"/>
      <c r="T98" s="274"/>
      <c r="U98" s="274"/>
      <c r="AJ98" s="454"/>
      <c r="AZ98" s="275"/>
      <c r="BJ98" s="225"/>
      <c r="BK98" s="225"/>
      <c r="BL98" s="225"/>
      <c r="BO98" s="178"/>
      <c r="BP98" s="225"/>
      <c r="BQ98" s="276"/>
      <c r="BR98" s="277"/>
      <c r="BS98" s="225"/>
      <c r="BT98" s="278"/>
      <c r="BX98" s="225"/>
      <c r="BY98" s="225"/>
      <c r="BZ98" s="178"/>
      <c r="CA98" s="178"/>
      <c r="CB98" s="178"/>
      <c r="CC98" s="178"/>
    </row>
    <row r="99" spans="8:81" x14ac:dyDescent="0.2">
      <c r="H99" s="176">
        <v>93</v>
      </c>
      <c r="I99" s="468">
        <f t="shared" si="25"/>
        <v>0.1023</v>
      </c>
      <c r="J99" s="223"/>
      <c r="K99" s="223"/>
      <c r="L99" s="223"/>
      <c r="M99" s="223"/>
      <c r="N99" s="273"/>
      <c r="O99" s="178"/>
      <c r="P99" s="223"/>
      <c r="Q99" s="454"/>
      <c r="S99" s="274"/>
      <c r="T99" s="274"/>
      <c r="U99" s="274"/>
      <c r="AJ99" s="454"/>
      <c r="AZ99" s="275"/>
      <c r="BJ99" s="225"/>
      <c r="BK99" s="225"/>
      <c r="BL99" s="225"/>
      <c r="BO99" s="178"/>
      <c r="BP99" s="225"/>
      <c r="BQ99" s="276"/>
      <c r="BR99" s="277"/>
      <c r="BS99" s="225"/>
      <c r="BT99" s="278"/>
      <c r="BX99" s="225"/>
      <c r="BY99" s="225"/>
      <c r="BZ99" s="178"/>
      <c r="CA99" s="178"/>
      <c r="CB99" s="178"/>
      <c r="CC99" s="178"/>
    </row>
    <row r="100" spans="8:81" x14ac:dyDescent="0.2">
      <c r="H100" s="176">
        <v>94</v>
      </c>
      <c r="I100" s="468">
        <f t="shared" si="25"/>
        <v>0.10339999999999999</v>
      </c>
      <c r="J100" s="223"/>
      <c r="K100" s="223"/>
      <c r="L100" s="223"/>
      <c r="M100" s="223"/>
      <c r="N100" s="273"/>
      <c r="O100" s="178"/>
      <c r="P100" s="223"/>
      <c r="Q100" s="454"/>
      <c r="S100" s="274"/>
      <c r="T100" s="274"/>
      <c r="U100" s="274"/>
      <c r="AJ100" s="454"/>
      <c r="AZ100" s="275"/>
      <c r="BJ100" s="225"/>
      <c r="BK100" s="225"/>
      <c r="BL100" s="225"/>
      <c r="BO100" s="178"/>
      <c r="BP100" s="225"/>
      <c r="BQ100" s="276"/>
      <c r="BR100" s="277"/>
      <c r="BS100" s="225"/>
      <c r="BT100" s="278"/>
      <c r="BX100" s="225"/>
      <c r="BY100" s="225"/>
      <c r="BZ100" s="178"/>
      <c r="CA100" s="178"/>
      <c r="CB100" s="178"/>
      <c r="CC100" s="178"/>
    </row>
    <row r="101" spans="8:81" x14ac:dyDescent="0.2">
      <c r="H101" s="176">
        <v>95</v>
      </c>
      <c r="I101" s="468">
        <f t="shared" si="25"/>
        <v>0.1045</v>
      </c>
      <c r="J101" s="223"/>
      <c r="K101" s="223"/>
      <c r="L101" s="223"/>
      <c r="M101" s="223"/>
      <c r="N101" s="273"/>
      <c r="O101" s="178"/>
      <c r="P101" s="223"/>
      <c r="Q101" s="454"/>
      <c r="S101" s="274"/>
      <c r="T101" s="274"/>
      <c r="U101" s="274"/>
      <c r="AJ101" s="454"/>
      <c r="AZ101" s="275"/>
      <c r="BJ101" s="225"/>
      <c r="BK101" s="225"/>
      <c r="BL101" s="225"/>
      <c r="BO101" s="178"/>
      <c r="BP101" s="225"/>
      <c r="BQ101" s="276"/>
      <c r="BR101" s="277"/>
      <c r="BS101" s="225"/>
      <c r="BT101" s="278"/>
      <c r="BX101" s="225"/>
      <c r="BY101" s="225"/>
      <c r="BZ101" s="178"/>
      <c r="CA101" s="178"/>
      <c r="CB101" s="178"/>
      <c r="CC101" s="178"/>
    </row>
    <row r="102" spans="8:81" x14ac:dyDescent="0.2">
      <c r="H102" s="176">
        <v>96</v>
      </c>
      <c r="I102" s="468">
        <f t="shared" ref="I102:I106" si="26">IF(PLOT_TYPE=1, H102/100*Iout_max, min_I*EXP(H102*rr/100))</f>
        <v>0.1056</v>
      </c>
      <c r="J102" s="223"/>
      <c r="K102" s="223"/>
      <c r="L102" s="223"/>
      <c r="M102" s="223"/>
      <c r="N102" s="273"/>
      <c r="O102" s="178"/>
      <c r="P102" s="223"/>
      <c r="Q102" s="454"/>
      <c r="S102" s="274"/>
      <c r="T102" s="274"/>
      <c r="U102" s="274"/>
      <c r="AJ102" s="454"/>
      <c r="AZ102" s="275"/>
      <c r="BJ102" s="225"/>
      <c r="BK102" s="225"/>
      <c r="BL102" s="225"/>
      <c r="BO102" s="178"/>
      <c r="BP102" s="225"/>
      <c r="BQ102" s="276"/>
      <c r="BR102" s="277"/>
      <c r="BS102" s="225"/>
      <c r="BT102" s="278"/>
      <c r="BX102" s="225"/>
      <c r="BY102" s="225"/>
      <c r="BZ102" s="178"/>
      <c r="CA102" s="178"/>
      <c r="CB102" s="178"/>
      <c r="CC102" s="178"/>
    </row>
    <row r="103" spans="8:81" x14ac:dyDescent="0.2">
      <c r="H103" s="176">
        <v>97</v>
      </c>
      <c r="I103" s="468">
        <f t="shared" si="26"/>
        <v>0.1067</v>
      </c>
      <c r="J103" s="223"/>
      <c r="K103" s="223"/>
      <c r="L103" s="223"/>
      <c r="M103" s="223"/>
      <c r="N103" s="273"/>
      <c r="O103" s="178"/>
      <c r="P103" s="223"/>
      <c r="Q103" s="454"/>
      <c r="S103" s="274"/>
      <c r="T103" s="274"/>
      <c r="U103" s="274"/>
      <c r="AJ103" s="454"/>
      <c r="AZ103" s="275"/>
      <c r="BJ103" s="225"/>
      <c r="BK103" s="225"/>
      <c r="BL103" s="225"/>
      <c r="BO103" s="178"/>
      <c r="BP103" s="225"/>
      <c r="BQ103" s="276"/>
      <c r="BR103" s="277"/>
      <c r="BS103" s="225"/>
      <c r="BT103" s="278"/>
      <c r="BX103" s="225"/>
      <c r="BY103" s="225"/>
      <c r="BZ103" s="178"/>
      <c r="CA103" s="178"/>
      <c r="CB103" s="178"/>
      <c r="CC103" s="178"/>
    </row>
    <row r="104" spans="8:81" x14ac:dyDescent="0.2">
      <c r="H104" s="176">
        <v>98</v>
      </c>
      <c r="I104" s="468">
        <f t="shared" si="26"/>
        <v>0.10779999999999999</v>
      </c>
      <c r="J104" s="223"/>
      <c r="K104" s="223"/>
      <c r="L104" s="223"/>
      <c r="M104" s="223"/>
      <c r="N104" s="273"/>
      <c r="O104" s="178"/>
      <c r="P104" s="223"/>
      <c r="Q104" s="454"/>
      <c r="S104" s="274"/>
      <c r="T104" s="274"/>
      <c r="U104" s="274"/>
      <c r="AJ104" s="454"/>
      <c r="AZ104" s="275"/>
      <c r="BJ104" s="225"/>
      <c r="BK104" s="225"/>
      <c r="BL104" s="225"/>
      <c r="BO104" s="178"/>
      <c r="BP104" s="225"/>
      <c r="BQ104" s="276"/>
      <c r="BR104" s="277"/>
      <c r="BS104" s="225"/>
      <c r="BT104" s="278"/>
      <c r="BX104" s="225"/>
      <c r="BY104" s="225"/>
      <c r="BZ104" s="178"/>
      <c r="CA104" s="178"/>
      <c r="CB104" s="178"/>
      <c r="CC104" s="178"/>
    </row>
    <row r="105" spans="8:81" x14ac:dyDescent="0.2">
      <c r="H105" s="176">
        <v>99</v>
      </c>
      <c r="I105" s="468">
        <f t="shared" si="26"/>
        <v>0.1089</v>
      </c>
      <c r="J105" s="223"/>
      <c r="K105" s="223"/>
      <c r="L105" s="223"/>
      <c r="M105" s="223"/>
      <c r="N105" s="273"/>
      <c r="O105" s="178"/>
      <c r="P105" s="223"/>
      <c r="Q105" s="454"/>
      <c r="S105" s="274"/>
      <c r="T105" s="274"/>
      <c r="U105" s="274"/>
      <c r="AJ105" s="454"/>
      <c r="AZ105" s="275"/>
      <c r="BJ105" s="225"/>
      <c r="BK105" s="225"/>
      <c r="BL105" s="225"/>
      <c r="BO105" s="178"/>
      <c r="BP105" s="225"/>
      <c r="BQ105" s="276"/>
      <c r="BR105" s="277"/>
      <c r="BS105" s="225"/>
      <c r="BT105" s="278"/>
      <c r="BX105" s="225"/>
      <c r="BY105" s="225"/>
      <c r="BZ105" s="178"/>
      <c r="CA105" s="178"/>
      <c r="CB105" s="178"/>
      <c r="CC105" s="178"/>
    </row>
    <row r="106" spans="8:81" x14ac:dyDescent="0.2">
      <c r="H106" s="176">
        <v>100</v>
      </c>
      <c r="I106" s="468">
        <f t="shared" si="26"/>
        <v>0.11</v>
      </c>
      <c r="J106" s="223"/>
      <c r="K106" s="223"/>
      <c r="L106" s="223"/>
      <c r="M106" s="223"/>
      <c r="N106" s="273"/>
      <c r="O106" s="178"/>
      <c r="P106" s="223"/>
      <c r="Q106" s="454"/>
      <c r="S106" s="274"/>
      <c r="T106" s="274"/>
      <c r="U106" s="274"/>
      <c r="AJ106" s="454"/>
      <c r="AY106" s="222">
        <f>Vout*I106</f>
        <v>2.64</v>
      </c>
      <c r="AZ106" s="275">
        <f t="shared" ref="AZ106" si="27">AY106/(AY106+AX106)</f>
        <v>1</v>
      </c>
      <c r="BA106" s="351">
        <f t="shared" ref="BA106" si="28">AG106/($AY106+$AX106)</f>
        <v>0</v>
      </c>
      <c r="BB106" s="351">
        <f t="shared" ref="BB106" si="29">AO106/($AY106+$AX106)</f>
        <v>0</v>
      </c>
      <c r="BC106" s="351" t="e">
        <f t="shared" ref="BC106" si="30">Vin*R106*(QgBot+Qg)/($AY106+$AX106)</f>
        <v>#NAME?</v>
      </c>
      <c r="BD106" s="351">
        <f t="shared" ref="BD106" si="31">AK106/($AY106+$AX106)</f>
        <v>0</v>
      </c>
      <c r="BE106" s="351">
        <f t="shared" ref="BE106" si="32">AQ106/(AX106+AY106)</f>
        <v>0</v>
      </c>
      <c r="BF106" s="351">
        <f t="shared" ref="BF106" si="33">AR106/($AY106+$AX106)</f>
        <v>0</v>
      </c>
      <c r="BG106" s="351">
        <f t="shared" ref="BG106" si="34">W106/($AY106+$AX106)</f>
        <v>0</v>
      </c>
      <c r="BH106" s="351">
        <f t="shared" ref="BH106" si="35">X106/($AY106+$AX106)</f>
        <v>0</v>
      </c>
      <c r="BI106" s="351">
        <f t="shared" ref="BI106" si="36">(AB106+AE106)/($AY106+$AX106)</f>
        <v>0</v>
      </c>
      <c r="BJ106" s="225">
        <f t="shared" ref="BJ106" si="37">AT106/($AY106+$AX106)</f>
        <v>0</v>
      </c>
      <c r="BK106" s="225">
        <f t="shared" ref="BK106" si="38">AX106/($AY106+$AX106)</f>
        <v>0</v>
      </c>
      <c r="BL106" s="225">
        <f t="shared" ref="BL106" si="39">AZ106</f>
        <v>1</v>
      </c>
      <c r="BM106" s="178">
        <f t="shared" ref="BM106" si="40">100*BL106</f>
        <v>100</v>
      </c>
      <c r="BN106" s="223">
        <f xml:space="preserve"> CHOOSE(MODE, I106*1000,#REF!)</f>
        <v>110</v>
      </c>
      <c r="BO106" s="178">
        <v>88.698181382326453</v>
      </c>
      <c r="BP106" s="225">
        <f t="shared" ref="BP106" si="41">BO106/100</f>
        <v>0.88698181382326458</v>
      </c>
      <c r="BQ106" s="276">
        <f t="shared" ref="BQ106" si="42">R106/1000</f>
        <v>0</v>
      </c>
      <c r="BR106" s="277"/>
      <c r="BS106" s="225">
        <f t="shared" ref="BS106" si="43">AL106/($AY106+$AX106)</f>
        <v>0</v>
      </c>
      <c r="BT106" s="278"/>
      <c r="BU106" s="178">
        <f t="shared" ref="BU106" si="44">1000*AW106</f>
        <v>0</v>
      </c>
      <c r="BV106" s="178">
        <f t="shared" ref="BV106" si="45">1000*AU106</f>
        <v>0</v>
      </c>
      <c r="BW106" s="178">
        <f t="shared" ref="BW106" si="46">1000*Y106</f>
        <v>0</v>
      </c>
      <c r="BX106" s="225"/>
      <c r="BY106" s="225"/>
      <c r="BZ106" s="178">
        <f xml:space="preserve"> IF(MODE=1, BM106,#REF!)</f>
        <v>100</v>
      </c>
      <c r="CA106" s="178">
        <f xml:space="preserve"> IF(MODE=1, BU106,#REF!)</f>
        <v>0</v>
      </c>
      <c r="CB106" s="178">
        <f xml:space="preserve"> IF(MODE=1, BV106,#REF!)</f>
        <v>0</v>
      </c>
      <c r="CC106" s="178">
        <f xml:space="preserve"> IF(MODE=1, BW106,#REF!)</f>
        <v>0</v>
      </c>
    </row>
    <row r="107" spans="8:81" x14ac:dyDescent="0.2">
      <c r="BQ107" s="276"/>
      <c r="BR107" s="277"/>
      <c r="BS107" s="277"/>
      <c r="BT107" s="278"/>
      <c r="BX107" s="225"/>
      <c r="BY107" s="225"/>
    </row>
    <row r="108" spans="8:81" x14ac:dyDescent="0.2">
      <c r="H108" s="334">
        <v>1.0000000000000001E-5</v>
      </c>
      <c r="I108" s="335" t="s">
        <v>1</v>
      </c>
      <c r="J108" s="336" t="s">
        <v>277</v>
      </c>
      <c r="AG108" s="222">
        <v>4.9516878778202269E-3</v>
      </c>
      <c r="AH108" s="222">
        <v>3.7188236700537959E-3</v>
      </c>
      <c r="AI108">
        <v>20</v>
      </c>
      <c r="AJ108" s="222">
        <v>18.943591787921068</v>
      </c>
      <c r="AK108" s="222">
        <v>4.1453367485397245E-3</v>
      </c>
      <c r="AL108" s="222">
        <v>7.1640215182307235E-3</v>
      </c>
      <c r="AN108" s="222">
        <v>9.1940431932401354E-2</v>
      </c>
      <c r="AO108" s="222">
        <v>8.4530430239165271E-3</v>
      </c>
      <c r="AP108" s="222">
        <v>9.3281530185295868E-4</v>
      </c>
      <c r="AQ108" s="222">
        <v>9.1178757202630047E-3</v>
      </c>
      <c r="AR108" s="222">
        <v>1.2140752334887425E-3</v>
      </c>
      <c r="AS108" s="222">
        <v>1.8784993977668273E-2</v>
      </c>
      <c r="AZ108" s="338" t="s">
        <v>281</v>
      </c>
      <c r="BA108" s="358">
        <v>3.6409104085968987E-3</v>
      </c>
      <c r="BB108" s="358">
        <v>6.5692245841190103E-3</v>
      </c>
      <c r="BC108" s="358">
        <v>5.4394694205683519E-2</v>
      </c>
      <c r="BD108" s="358">
        <v>4.5907837520612008E-3</v>
      </c>
      <c r="BE108" s="358">
        <v>0</v>
      </c>
      <c r="BF108" s="358">
        <v>7.3751579484765363E-4</v>
      </c>
      <c r="BG108" s="358">
        <v>7.2151246180390156E-3</v>
      </c>
      <c r="BH108" s="358">
        <v>1.4929120352630757E-2</v>
      </c>
      <c r="BI108" s="358">
        <v>5.5024434421027814E-6</v>
      </c>
      <c r="BJ108" s="358">
        <v>8.2551506228875166E-2</v>
      </c>
    </row>
    <row r="109" spans="8:81" x14ac:dyDescent="0.2">
      <c r="H109" s="337">
        <f>Iout_max</f>
        <v>0.11</v>
      </c>
      <c r="I109" s="335" t="s">
        <v>1</v>
      </c>
      <c r="J109" s="336" t="s">
        <v>278</v>
      </c>
      <c r="AZ109" s="338" t="s">
        <v>279</v>
      </c>
      <c r="BA109" s="358">
        <v>8.1000709018000279E-3</v>
      </c>
      <c r="BB109" s="358">
        <v>1.4614802049391215E-2</v>
      </c>
      <c r="BC109" s="358">
        <v>2.4831534664325892E-2</v>
      </c>
      <c r="BD109" s="358">
        <v>9.9057039827182662E-3</v>
      </c>
      <c r="BE109" s="358">
        <v>1.1631608311305648E-2</v>
      </c>
      <c r="BF109" s="358">
        <v>1.6465542803473395E-3</v>
      </c>
      <c r="BG109" s="358">
        <v>1.6051760250250457E-2</v>
      </c>
      <c r="BH109" s="358">
        <v>6.8152413568584669E-3</v>
      </c>
      <c r="BI109" s="358">
        <v>1.7517781122613987E-5</v>
      </c>
      <c r="BJ109" s="358">
        <v>1.2837829865088564E-2</v>
      </c>
    </row>
    <row r="110" spans="8:81" x14ac:dyDescent="0.2">
      <c r="H110" s="337">
        <f>LOG(max_I/min_I,EXP(1))</f>
        <v>9.3056505517805075</v>
      </c>
      <c r="I110" s="223"/>
      <c r="J110" s="336" t="s">
        <v>280</v>
      </c>
    </row>
    <row r="111" spans="8:81" x14ac:dyDescent="0.2">
      <c r="AZ111" s="338"/>
      <c r="BA111" s="358"/>
      <c r="BB111" s="358"/>
      <c r="BC111" s="358"/>
      <c r="BD111" s="358"/>
      <c r="BE111" s="358"/>
      <c r="BF111" s="358"/>
      <c r="BG111" s="358"/>
      <c r="BH111" s="358"/>
      <c r="BI111" s="358"/>
      <c r="BJ111" s="358"/>
    </row>
    <row r="112" spans="8:81" x14ac:dyDescent="0.2">
      <c r="J112" s="340"/>
      <c r="R112" s="341"/>
      <c r="S112" s="341"/>
      <c r="T112" s="341"/>
      <c r="U112" s="341"/>
      <c r="V112" s="342"/>
    </row>
    <row r="113" spans="10:22" x14ac:dyDescent="0.2">
      <c r="J113" s="340"/>
      <c r="R113" s="341"/>
      <c r="S113" s="341"/>
      <c r="T113" s="341"/>
      <c r="U113" s="341"/>
      <c r="V113" s="342"/>
    </row>
    <row r="114" spans="10:22" x14ac:dyDescent="0.2">
      <c r="R114" s="343"/>
      <c r="S114" s="343"/>
      <c r="T114" s="343"/>
      <c r="U114" s="343"/>
      <c r="V114" s="342"/>
    </row>
    <row r="116" spans="10:22" x14ac:dyDescent="0.2">
      <c r="R116" s="343"/>
      <c r="S116" s="343"/>
      <c r="T116" s="343"/>
      <c r="U116" s="343"/>
      <c r="V116" s="342"/>
    </row>
    <row r="121" spans="10:22" x14ac:dyDescent="0.2">
      <c r="V121" s="336"/>
    </row>
    <row r="122" spans="10:22" x14ac:dyDescent="0.2">
      <c r="O122" s="336"/>
      <c r="P122" s="336"/>
      <c r="Q122" s="336"/>
    </row>
    <row r="123" spans="10:22" x14ac:dyDescent="0.2">
      <c r="O123" s="336"/>
      <c r="P123" s="336"/>
      <c r="Q123" s="336"/>
    </row>
    <row r="124" spans="10:22" x14ac:dyDescent="0.2">
      <c r="O124" s="336"/>
      <c r="P124" s="336"/>
      <c r="Q124" s="336"/>
    </row>
    <row r="125" spans="10:22" x14ac:dyDescent="0.2">
      <c r="O125" s="336"/>
      <c r="P125" s="336"/>
      <c r="Q125" s="336"/>
    </row>
    <row r="126" spans="10:22" x14ac:dyDescent="0.2">
      <c r="J126" s="344"/>
      <c r="O126" s="336"/>
      <c r="P126" s="336"/>
      <c r="Q126" s="336"/>
    </row>
    <row r="127" spans="10:22" x14ac:dyDescent="0.2">
      <c r="J127" s="344"/>
      <c r="O127" s="336"/>
      <c r="P127" s="336"/>
      <c r="Q127" s="336"/>
    </row>
    <row r="128" spans="10:22" x14ac:dyDescent="0.2">
      <c r="J128" s="344"/>
      <c r="O128" s="336"/>
      <c r="P128" s="336"/>
      <c r="Q128" s="336"/>
    </row>
    <row r="129" spans="10:17" x14ac:dyDescent="0.2">
      <c r="J129" s="335"/>
      <c r="O129" s="336"/>
      <c r="P129" s="336"/>
      <c r="Q129" s="336"/>
    </row>
    <row r="130" spans="10:17" x14ac:dyDescent="0.2">
      <c r="J130" s="335"/>
    </row>
    <row r="131" spans="10:17" x14ac:dyDescent="0.2">
      <c r="J131" s="335"/>
    </row>
    <row r="132" spans="10:17" x14ac:dyDescent="0.2">
      <c r="J132" s="335"/>
    </row>
    <row r="133" spans="10:17" x14ac:dyDescent="0.2">
      <c r="J133" s="335"/>
    </row>
  </sheetData>
  <mergeCells count="4">
    <mergeCell ref="A1:E3"/>
    <mergeCell ref="G2:H2"/>
    <mergeCell ref="A4:E4"/>
    <mergeCell ref="K4:U4"/>
  </mergeCells>
  <conditionalFormatting sqref="B26:B28">
    <cfRule type="cellIs" dxfId="9" priority="8" stopIfTrue="1" operator="notEqual">
      <formula>G28</formula>
    </cfRule>
  </conditionalFormatting>
  <conditionalFormatting sqref="B30:B33 B37:B38">
    <cfRule type="cellIs" dxfId="8" priority="6" stopIfTrue="1" operator="notEqual">
      <formula>G36</formula>
    </cfRule>
  </conditionalFormatting>
  <conditionalFormatting sqref="B35:B36">
    <cfRule type="cellIs" dxfId="7" priority="5" stopIfTrue="1" operator="notEqual">
      <formula>G42</formula>
    </cfRule>
  </conditionalFormatting>
  <conditionalFormatting sqref="B40">
    <cfRule type="cellIs" dxfId="6" priority="4" stopIfTrue="1" operator="notEqual">
      <formula>G53</formula>
    </cfRule>
  </conditionalFormatting>
  <conditionalFormatting sqref="B49:B52">
    <cfRule type="cellIs" dxfId="5" priority="9" stopIfTrue="1" operator="notEqual">
      <formula>G70</formula>
    </cfRule>
  </conditionalFormatting>
  <conditionalFormatting sqref="B47:B48">
    <cfRule type="cellIs" dxfId="4" priority="12" stopIfTrue="1" operator="notEqual">
      <formula>G68</formula>
    </cfRule>
  </conditionalFormatting>
  <conditionalFormatting sqref="B42:B44">
    <cfRule type="cellIs" dxfId="3" priority="13" stopIfTrue="1" operator="notEqual">
      <formula>G54</formula>
    </cfRule>
  </conditionalFormatting>
  <conditionalFormatting sqref="B45">
    <cfRule type="cellIs" dxfId="2" priority="2" stopIfTrue="1" operator="notEqual">
      <formula>G66</formula>
    </cfRule>
  </conditionalFormatting>
  <conditionalFormatting sqref="B29">
    <cfRule type="cellIs" dxfId="1" priority="145" stopIfTrue="1" operator="notEqual">
      <formula>G30</formula>
    </cfRule>
  </conditionalFormatting>
  <pageMargins left="0.75" right="0.75" top="1" bottom="1" header="0.5" footer="0.5"/>
  <pageSetup scale="79" orientation="portrait" r:id="rId1"/>
  <headerFooter alignWithMargins="0"/>
  <colBreaks count="1" manualBreakCount="1">
    <brk id="7" max="1048575" man="1"/>
  </colBreaks>
  <ignoredErrors>
    <ignoredError sqref="B8:B9 BQ6:BQ7" unlockedFormula="1"/>
    <ignoredError sqref="D11" formula="1"/>
  </ignoredErrors>
  <drawing r:id="rId2"/>
  <legacyDrawing r:id="rId3"/>
  <oleObjects>
    <mc:AlternateContent xmlns:mc="http://schemas.openxmlformats.org/markup-compatibility/2006">
      <mc:Choice Requires="x14">
        <oleObject progId="Visio.Drawing.11" shapeId="683009" r:id="rId4">
          <objectPr defaultSize="0" autoPict="0" r:id="rId5">
            <anchor moveWithCells="1">
              <from>
                <xdr:col>22</xdr:col>
                <xdr:colOff>180975</xdr:colOff>
                <xdr:row>111</xdr:row>
                <xdr:rowOff>142875</xdr:rowOff>
              </from>
              <to>
                <xdr:col>36</xdr:col>
                <xdr:colOff>9525</xdr:colOff>
                <xdr:row>125</xdr:row>
                <xdr:rowOff>142875</xdr:rowOff>
              </to>
            </anchor>
          </objectPr>
        </oleObject>
      </mc:Choice>
      <mc:Fallback>
        <oleObject progId="Visio.Drawing.11" shapeId="683009"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2:B7"/>
  <sheetViews>
    <sheetView zoomScaleNormal="100" workbookViewId="0">
      <selection activeCell="H7" sqref="H7"/>
    </sheetView>
  </sheetViews>
  <sheetFormatPr defaultRowHeight="12.75" x14ac:dyDescent="0.2"/>
  <cols>
    <col min="2" max="2" width="126.42578125" customWidth="1"/>
  </cols>
  <sheetData>
    <row r="2" spans="1:2" ht="17.25" customHeight="1" x14ac:dyDescent="0.2">
      <c r="A2" s="78" t="str">
        <f>CHOOSE(MODE, "EFF_SINGLE", "EFF_DUAL")</f>
        <v>EFF_SINGLE</v>
      </c>
    </row>
    <row r="5" spans="1:2" ht="409.5" customHeight="1" x14ac:dyDescent="0.2">
      <c r="B5" s="366"/>
    </row>
    <row r="6" spans="1:2" ht="17.100000000000001" customHeight="1" x14ac:dyDescent="0.2"/>
    <row r="7" spans="1:2" ht="409.5" customHeight="1" x14ac:dyDescent="0.2">
      <c r="B7" s="366"/>
    </row>
  </sheetData>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163</vt:i4>
      </vt:variant>
    </vt:vector>
  </HeadingPairs>
  <TitlesOfParts>
    <vt:vector size="175" baseType="lpstr">
      <vt:lpstr>Design Converter</vt:lpstr>
      <vt:lpstr>BOM &amp; Schematic</vt:lpstr>
      <vt:lpstr>EVMs</vt:lpstr>
      <vt:lpstr>Variable Mgmt</vt:lpstr>
      <vt:lpstr>Calculations - Single</vt:lpstr>
      <vt:lpstr>Calculations - Dual</vt:lpstr>
      <vt:lpstr>Fsw vs VIN</vt:lpstr>
      <vt:lpstr>Parameters</vt:lpstr>
      <vt:lpstr>Efficiency Plots</vt:lpstr>
      <vt:lpstr>Fsw Plots</vt:lpstr>
      <vt:lpstr>Schematic Mgmt</vt:lpstr>
      <vt:lpstr>Standard Value Calculator</vt:lpstr>
      <vt:lpstr>_Don1</vt:lpstr>
      <vt:lpstr>BDserR</vt:lpstr>
      <vt:lpstr>Cb</vt:lpstr>
      <vt:lpstr>Parameters!Cin</vt:lpstr>
      <vt:lpstr>Cin</vt:lpstr>
      <vt:lpstr>CinEsrMax</vt:lpstr>
      <vt:lpstr>Cinmin</vt:lpstr>
      <vt:lpstr>CONFIG</vt:lpstr>
      <vt:lpstr>Coss</vt:lpstr>
      <vt:lpstr>Parameters!Cout</vt:lpstr>
      <vt:lpstr>Cout</vt:lpstr>
      <vt:lpstr>Cout_Voltage_Rating</vt:lpstr>
      <vt:lpstr>Cout2</vt:lpstr>
      <vt:lpstr>CoutEsr</vt:lpstr>
      <vt:lpstr>CoutEsr2</vt:lpstr>
      <vt:lpstr>Css</vt:lpstr>
      <vt:lpstr>Css_u</vt:lpstr>
      <vt:lpstr>Csw</vt:lpstr>
      <vt:lpstr>Diode_TC</vt:lpstr>
      <vt:lpstr>Don_Vinmax</vt:lpstr>
      <vt:lpstr>Don_Vinmin</vt:lpstr>
      <vt:lpstr>Don_Vinnom</vt:lpstr>
      <vt:lpstr>EFF_DUAL</vt:lpstr>
      <vt:lpstr>EFF_SINGLE</vt:lpstr>
      <vt:lpstr>Efficiency</vt:lpstr>
      <vt:lpstr>Parameters!Fsw</vt:lpstr>
      <vt:lpstr>Fsw_DCM</vt:lpstr>
      <vt:lpstr>Fsw_DUAL</vt:lpstr>
      <vt:lpstr>Fsw_max</vt:lpstr>
      <vt:lpstr>Fsw_SINGLE</vt:lpstr>
      <vt:lpstr>Icinrms</vt:lpstr>
      <vt:lpstr>Icoutrms</vt:lpstr>
      <vt:lpstr>Iin_Vinmax</vt:lpstr>
      <vt:lpstr>Iin_Vinmin</vt:lpstr>
      <vt:lpstr>Iin_Vinnom</vt:lpstr>
      <vt:lpstr>Iout</vt:lpstr>
      <vt:lpstr>Iout_max</vt:lpstr>
      <vt:lpstr>Iout2</vt:lpstr>
      <vt:lpstr>Iout2_actual</vt:lpstr>
      <vt:lpstr>'Calculations - Dual'!Ioutmax_Vinmax</vt:lpstr>
      <vt:lpstr>Ioutmax_Vinmax</vt:lpstr>
      <vt:lpstr>'Calculations - Dual'!Ioutmax_Vinmin</vt:lpstr>
      <vt:lpstr>Ioutmax_Vinmin</vt:lpstr>
      <vt:lpstr>'Calculations - Dual'!Ioutmax_Vinnom</vt:lpstr>
      <vt:lpstr>Ioutmax_Vinnom</vt:lpstr>
      <vt:lpstr>IQ</vt:lpstr>
      <vt:lpstr>Iripple</vt:lpstr>
      <vt:lpstr>Iss</vt:lpstr>
      <vt:lpstr>Isw_max</vt:lpstr>
      <vt:lpstr>Isw_min</vt:lpstr>
      <vt:lpstr>Iuvlo_hys</vt:lpstr>
      <vt:lpstr>Iuvlo1</vt:lpstr>
      <vt:lpstr>Iuvlo2</vt:lpstr>
      <vt:lpstr>k_core</vt:lpstr>
      <vt:lpstr>L</vt:lpstr>
      <vt:lpstr>Lf</vt:lpstr>
      <vt:lpstr>Lleak</vt:lpstr>
      <vt:lpstr>Lmin</vt:lpstr>
      <vt:lpstr>Ltc</vt:lpstr>
      <vt:lpstr>max_I</vt:lpstr>
      <vt:lpstr>min_I</vt:lpstr>
      <vt:lpstr>MODE</vt:lpstr>
      <vt:lpstr>MODE_SS</vt:lpstr>
      <vt:lpstr>MODE_TC</vt:lpstr>
      <vt:lpstr>MODE_TOP</vt:lpstr>
      <vt:lpstr>MODE_UVLO</vt:lpstr>
      <vt:lpstr>Npri_sec1</vt:lpstr>
      <vt:lpstr>Npri_sec2</vt:lpstr>
      <vt:lpstr>Nps</vt:lpstr>
      <vt:lpstr>Nsec1sec2</vt:lpstr>
      <vt:lpstr>OffTime</vt:lpstr>
      <vt:lpstr>OnTime</vt:lpstr>
      <vt:lpstr>Pi</vt:lpstr>
      <vt:lpstr>Pin</vt:lpstr>
      <vt:lpstr>PLOT_TYPE</vt:lpstr>
      <vt:lpstr>Pout</vt:lpstr>
      <vt:lpstr>Pout_total</vt:lpstr>
      <vt:lpstr>Pout2</vt:lpstr>
      <vt:lpstr>'BOM &amp; Schematic'!Print_Area</vt:lpstr>
      <vt:lpstr>'Design Converter'!Print_Area</vt:lpstr>
      <vt:lpstr>Qg</vt:lpstr>
      <vt:lpstr>Parameters!RCinEsr</vt:lpstr>
      <vt:lpstr>RCinEsr</vt:lpstr>
      <vt:lpstr>Parameters!RCoutEsr</vt:lpstr>
      <vt:lpstr>RCoutEsr</vt:lpstr>
      <vt:lpstr>Rdcr_pri</vt:lpstr>
      <vt:lpstr>Rdcr_sec</vt:lpstr>
      <vt:lpstr>Rdcr_sec2</vt:lpstr>
      <vt:lpstr>Rdson</vt:lpstr>
      <vt:lpstr>RdsonTC</vt:lpstr>
      <vt:lpstr>Rfb</vt:lpstr>
      <vt:lpstr>Rfb_recommend</vt:lpstr>
      <vt:lpstr>Rfb2_u</vt:lpstr>
      <vt:lpstr>Rout</vt:lpstr>
      <vt:lpstr>Rout2</vt:lpstr>
      <vt:lpstr>rr</vt:lpstr>
      <vt:lpstr>RTC</vt:lpstr>
      <vt:lpstr>RTC_1</vt:lpstr>
      <vt:lpstr>Ruvlo1</vt:lpstr>
      <vt:lpstr>Ruvlo2</vt:lpstr>
      <vt:lpstr>SCH_BIPOLAR_UVLOadj_SSadj_TCno</vt:lpstr>
      <vt:lpstr>SCH_BIPOLAR_UVLOadj_SSadj_TCyes</vt:lpstr>
      <vt:lpstr>SCH_BIPOLAR_UVLOadj_SSint_TCno</vt:lpstr>
      <vt:lpstr>SCH_BIPOLAR_UVLOadj_SSint_TCyes</vt:lpstr>
      <vt:lpstr>SCH_BIPOLAR_UVLOint_SSadj_TCno</vt:lpstr>
      <vt:lpstr>SCH_BIPOLAR_UVLOint_SSadj_TCyes</vt:lpstr>
      <vt:lpstr>SCH_BIPOLAR_UVLOint_SSint_TCno</vt:lpstr>
      <vt:lpstr>SCH_BIPOLAR_UVLOint_SSint_TCyes</vt:lpstr>
      <vt:lpstr>SCH_DUAL_UVLOadj_SSadj_TCno</vt:lpstr>
      <vt:lpstr>SCH_DUAL_UVLOadj_SSadj_TCyes</vt:lpstr>
      <vt:lpstr>SCH_DUAL_UVLOadj_SSint_TCno</vt:lpstr>
      <vt:lpstr>SCH_DUAL_UVLOadj_SSint_TCyes</vt:lpstr>
      <vt:lpstr>SCH_DUAL_UVLOint_SSadj_TCno</vt:lpstr>
      <vt:lpstr>SCH_DUAL_UVLOint_SSadj_TCyes</vt:lpstr>
      <vt:lpstr>SCH_DUAL_UVLOint_SSint_TCno</vt:lpstr>
      <vt:lpstr>SCH_DUAL_UVLOint_SSint_TCyes</vt:lpstr>
      <vt:lpstr>SCH_SINGLE_UVLOadj_SSadj_TCno</vt:lpstr>
      <vt:lpstr>SCH_SINGLE_UVLOadj_SSadj_TCyes</vt:lpstr>
      <vt:lpstr>SCH_SINGLE_UVLOadj_SSint_TCno</vt:lpstr>
      <vt:lpstr>SCH_SINGLE_UVLOadj_SSint_TCyes</vt:lpstr>
      <vt:lpstr>SCH_SINGLE_UVLOint_SSadj_TCno</vt:lpstr>
      <vt:lpstr>SCH_SINGLE_UVLOint_SSadj_TCyes</vt:lpstr>
      <vt:lpstr>SCH_SINGLE_UVLOint_SSint_TCno</vt:lpstr>
      <vt:lpstr>SCH_SINGLE_UVLOint_SSint_TCyes</vt:lpstr>
      <vt:lpstr>Parameters!Ta</vt:lpstr>
      <vt:lpstr>Ta</vt:lpstr>
      <vt:lpstr>TC</vt:lpstr>
      <vt:lpstr>Tfall</vt:lpstr>
      <vt:lpstr>ThetaCa</vt:lpstr>
      <vt:lpstr>ThetaJA</vt:lpstr>
      <vt:lpstr>TL</vt:lpstr>
      <vt:lpstr>Toff_Vinmax</vt:lpstr>
      <vt:lpstr>Ton_Vinmin</vt:lpstr>
      <vt:lpstr>Trise</vt:lpstr>
      <vt:lpstr>TrrBot</vt:lpstr>
      <vt:lpstr>Tss</vt:lpstr>
      <vt:lpstr>Turns_Ratio</vt:lpstr>
      <vt:lpstr>Turns_Ratio2</vt:lpstr>
      <vt:lpstr>Vdd</vt:lpstr>
      <vt:lpstr>Vfwd1</vt:lpstr>
      <vt:lpstr>Vfwd2</vt:lpstr>
      <vt:lpstr>Vin</vt:lpstr>
      <vt:lpstr>VIN_max</vt:lpstr>
      <vt:lpstr>VIN_min</vt:lpstr>
      <vt:lpstr>VIN_nom</vt:lpstr>
      <vt:lpstr>Vinripple1</vt:lpstr>
      <vt:lpstr>Vinripple2</vt:lpstr>
      <vt:lpstr>VINuvlo_off</vt:lpstr>
      <vt:lpstr>VINuvlo_on</vt:lpstr>
      <vt:lpstr>Vout</vt:lpstr>
      <vt:lpstr>Vout_ripple</vt:lpstr>
      <vt:lpstr>Vout_ripple2</vt:lpstr>
      <vt:lpstr>Vout2</vt:lpstr>
      <vt:lpstr>Vout2_actual</vt:lpstr>
      <vt:lpstr>Vref</vt:lpstr>
      <vt:lpstr>Vripple1_actual</vt:lpstr>
      <vt:lpstr>Vripple1_spec</vt:lpstr>
      <vt:lpstr>Vripple2_actual</vt:lpstr>
      <vt:lpstr>Vripple2_spec</vt:lpstr>
      <vt:lpstr>VRRM_DIODE</vt:lpstr>
      <vt:lpstr>Vuvlo_hys</vt:lpstr>
      <vt:lpstr>Vuvlo_off</vt:lpstr>
      <vt:lpstr>Vuvlo_on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LM25180 Design Calculator</dc:title>
  <dc:creator>Timothy Hegarty</dc:creator>
  <cp:keywords>LM25180 PSR flyback converter</cp:keywords>
  <cp:lastModifiedBy>TI User</cp:lastModifiedBy>
  <cp:lastPrinted>2016-03-02T21:18:53Z</cp:lastPrinted>
  <dcterms:created xsi:type="dcterms:W3CDTF">1996-10-14T23:33:28Z</dcterms:created>
  <dcterms:modified xsi:type="dcterms:W3CDTF">2020-03-25T18:45:29Z</dcterms:modified>
</cp:coreProperties>
</file>